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025" windowWidth="14805" windowHeight="609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'Всего-дор'!$A$1:$AA$324</definedName>
  </definedNames>
  <calcPr calcId="145621"/>
</workbook>
</file>

<file path=xl/calcChain.xml><?xml version="1.0" encoding="utf-8"?>
<calcChain xmlns="http://schemas.openxmlformats.org/spreadsheetml/2006/main">
  <c r="V128" i="4" l="1"/>
  <c r="V112" i="4"/>
  <c r="V135" i="4"/>
  <c r="V134" i="4" l="1"/>
  <c r="Z244" i="4"/>
  <c r="Z243" i="4"/>
  <c r="Z242" i="4"/>
  <c r="Z241" i="4"/>
  <c r="V240" i="4"/>
  <c r="Z240" i="4" s="1"/>
  <c r="Z239" i="4"/>
  <c r="Z238" i="4"/>
  <c r="Z237" i="4"/>
  <c r="Z236" i="4"/>
  <c r="V235" i="4"/>
  <c r="Z235" i="4" s="1"/>
  <c r="Z234" i="4"/>
  <c r="Z233" i="4"/>
  <c r="Z232" i="4"/>
  <c r="Z231" i="4"/>
  <c r="V230" i="4"/>
  <c r="Z230" i="4" s="1"/>
  <c r="Z229" i="4"/>
  <c r="Z228" i="4"/>
  <c r="Z227" i="4"/>
  <c r="Z226" i="4"/>
  <c r="V225" i="4"/>
  <c r="Z225" i="4" s="1"/>
  <c r="Z224" i="4"/>
  <c r="Z223" i="4"/>
  <c r="Z222" i="4"/>
  <c r="Z221" i="4"/>
  <c r="Z220" i="4"/>
  <c r="Z219" i="4"/>
  <c r="V219" i="4"/>
  <c r="Z218" i="4"/>
  <c r="Z217" i="4"/>
  <c r="Z216" i="4"/>
  <c r="Z215" i="4"/>
  <c r="Z214" i="4"/>
  <c r="V213" i="4"/>
  <c r="Z213" i="4" s="1"/>
  <c r="Z206" i="4"/>
  <c r="Z203" i="4"/>
  <c r="Z204" i="4"/>
  <c r="Z205" i="4"/>
  <c r="Z202" i="4"/>
  <c r="Z201" i="4"/>
  <c r="Z198" i="4"/>
  <c r="Z199" i="4"/>
  <c r="Z200" i="4"/>
  <c r="Z197" i="4"/>
  <c r="Z196" i="4"/>
  <c r="Z193" i="4"/>
  <c r="Z194" i="4"/>
  <c r="Z195" i="4"/>
  <c r="Z192" i="4"/>
  <c r="Z191" i="4"/>
  <c r="Z188" i="4"/>
  <c r="Z189" i="4"/>
  <c r="Z190" i="4"/>
  <c r="Z187" i="4"/>
  <c r="Z186" i="4"/>
  <c r="Z183" i="4"/>
  <c r="Z184" i="4"/>
  <c r="Z185" i="4"/>
  <c r="Z182" i="4"/>
  <c r="Z181" i="4"/>
  <c r="Z178" i="4"/>
  <c r="Z179" i="4"/>
  <c r="Z180" i="4"/>
  <c r="Z177" i="4"/>
  <c r="V202" i="4"/>
  <c r="V197" i="4"/>
  <c r="V192" i="4"/>
  <c r="V187" i="4"/>
  <c r="V182" i="4"/>
  <c r="V177" i="4"/>
  <c r="Z208" i="4"/>
  <c r="Z209" i="4"/>
  <c r="Z210" i="4"/>
  <c r="Z211" i="4"/>
  <c r="Z212" i="4"/>
  <c r="V207" i="4"/>
  <c r="Z207" i="4" s="1"/>
  <c r="V98" i="4"/>
  <c r="V147" i="4" l="1"/>
  <c r="V175" i="4"/>
  <c r="V126" i="4" l="1"/>
  <c r="U126" i="4"/>
  <c r="U128" i="4"/>
  <c r="V81" i="4" l="1"/>
  <c r="V120" i="4" l="1"/>
  <c r="V139" i="4" l="1"/>
  <c r="Z139" i="4" s="1"/>
  <c r="V151" i="4"/>
  <c r="V152" i="4"/>
  <c r="Z154" i="4"/>
  <c r="T41" i="4"/>
  <c r="V41" i="4"/>
  <c r="Z44" i="4"/>
  <c r="Z144" i="4"/>
  <c r="V141" i="4"/>
  <c r="V142" i="4"/>
  <c r="Z159" i="4" l="1"/>
  <c r="V157" i="4"/>
  <c r="V137" i="4" s="1"/>
  <c r="Z149" i="4"/>
  <c r="V146" i="4"/>
  <c r="V101" i="4"/>
  <c r="V91" i="4" s="1"/>
  <c r="Z91" i="4" s="1"/>
  <c r="V80" i="4"/>
  <c r="Z86" i="4"/>
  <c r="Z85" i="4"/>
  <c r="Z82" i="4"/>
  <c r="U80" i="4"/>
  <c r="T80" i="4"/>
  <c r="V162" i="4"/>
  <c r="V136" i="4" l="1"/>
  <c r="V156" i="4"/>
  <c r="V97" i="4"/>
  <c r="Z101" i="4"/>
  <c r="Z80" i="4"/>
  <c r="Z43" i="4"/>
  <c r="V140" i="4" l="1"/>
  <c r="U253" i="4" l="1"/>
  <c r="Z258" i="4"/>
  <c r="Z259" i="4"/>
  <c r="U73" i="4"/>
  <c r="Z176" i="4" l="1"/>
  <c r="Z175" i="4"/>
  <c r="V290" i="4" l="1"/>
  <c r="W290" i="4"/>
  <c r="X290" i="4"/>
  <c r="Y290" i="4"/>
  <c r="W291" i="4"/>
  <c r="X291" i="4"/>
  <c r="Y291" i="4"/>
  <c r="V291" i="4"/>
  <c r="U291" i="4" l="1"/>
  <c r="U290" i="4"/>
  <c r="U162" i="4"/>
  <c r="U110" i="4"/>
  <c r="U274" i="4" l="1"/>
  <c r="U63" i="4"/>
  <c r="U52" i="4"/>
  <c r="U164" i="4"/>
  <c r="U157" i="4"/>
  <c r="U152" i="4"/>
  <c r="U147" i="4"/>
  <c r="U142" i="4"/>
  <c r="U123" i="4"/>
  <c r="U120" i="4"/>
  <c r="U117" i="4"/>
  <c r="U112" i="4"/>
  <c r="U107" i="4"/>
  <c r="U98" i="4"/>
  <c r="U81" i="4"/>
  <c r="Z132" i="4" l="1"/>
  <c r="U102" i="4" l="1"/>
  <c r="V273" i="4" l="1"/>
  <c r="U273" i="4"/>
  <c r="Z276" i="4"/>
  <c r="U287" i="4" l="1"/>
  <c r="U130" i="4" l="1"/>
  <c r="U59" i="4" l="1"/>
  <c r="U42" i="4"/>
  <c r="U41" i="4" s="1"/>
  <c r="Z41" i="4" s="1"/>
  <c r="U34" i="4"/>
  <c r="V30" i="4" l="1"/>
  <c r="Z46" i="4"/>
  <c r="U87" i="4" l="1"/>
  <c r="Z90" i="4"/>
  <c r="U97" i="4"/>
  <c r="Z100" i="4"/>
  <c r="U248" i="4" l="1"/>
  <c r="Z262" i="4"/>
  <c r="Z260" i="4"/>
  <c r="V107" i="4" l="1"/>
  <c r="W30" i="4" l="1"/>
  <c r="U30" i="4"/>
  <c r="U31" i="4"/>
  <c r="T32" i="4" l="1"/>
  <c r="W32" i="4"/>
  <c r="U32" i="4"/>
  <c r="X30" i="4" l="1"/>
  <c r="Z70" i="4"/>
  <c r="W97" i="4"/>
  <c r="X97" i="4"/>
  <c r="Y97" i="4"/>
  <c r="X88" i="4"/>
  <c r="Y88" i="4"/>
  <c r="X87" i="4"/>
  <c r="Y87" i="4"/>
  <c r="X29" i="4"/>
  <c r="W285" i="4"/>
  <c r="W246" i="4" s="1"/>
  <c r="W245" i="4" s="1"/>
  <c r="X285" i="4"/>
  <c r="X246" i="4" s="1"/>
  <c r="X245" i="4" s="1"/>
  <c r="Y285" i="4"/>
  <c r="Y246" i="4"/>
  <c r="Y245" i="4" s="1"/>
  <c r="W87" i="4"/>
  <c r="V285" i="4" l="1"/>
  <c r="V246" i="4" s="1"/>
  <c r="U285" i="4" l="1"/>
  <c r="Z286" i="4"/>
  <c r="Z287" i="4"/>
  <c r="Z285" i="4" l="1"/>
  <c r="U140" i="4"/>
  <c r="U135" i="4" s="1"/>
  <c r="Z38" i="4" l="1"/>
  <c r="U33" i="4"/>
  <c r="V88" i="4" l="1"/>
  <c r="V87" i="4" s="1"/>
  <c r="V78" i="4" s="1"/>
  <c r="W88" i="4"/>
  <c r="Z130" i="4" l="1"/>
  <c r="Z131" i="4"/>
  <c r="U122" i="4" l="1"/>
  <c r="U121" i="4"/>
  <c r="Z170" i="4" l="1"/>
  <c r="Z166" i="4"/>
  <c r="Z174" i="4"/>
  <c r="U172" i="4"/>
  <c r="Z172" i="4" s="1"/>
  <c r="Z173" i="4"/>
  <c r="U168" i="4"/>
  <c r="U167" i="4" s="1"/>
  <c r="Z167" i="4" s="1"/>
  <c r="Z169" i="4"/>
  <c r="Z165" i="4"/>
  <c r="Z164" i="4"/>
  <c r="U279" i="4"/>
  <c r="Z282" i="4"/>
  <c r="Z72" i="4"/>
  <c r="Z73" i="4"/>
  <c r="U71" i="4"/>
  <c r="U29" i="4" s="1"/>
  <c r="T71" i="4"/>
  <c r="Z71" i="4" l="1"/>
  <c r="U163" i="4"/>
  <c r="Z163" i="4" s="1"/>
  <c r="U171" i="4"/>
  <c r="Z171" i="4" s="1"/>
  <c r="Z168" i="4"/>
  <c r="Z48" i="4" l="1"/>
  <c r="U88" i="4" l="1"/>
  <c r="Z281" i="4"/>
  <c r="U246" i="4"/>
  <c r="T273" i="4"/>
  <c r="Z275" i="4"/>
  <c r="T255" i="4"/>
  <c r="Z273" i="4" l="1"/>
  <c r="T249" i="4"/>
  <c r="T251" i="4"/>
  <c r="T126" i="4" l="1"/>
  <c r="T107" i="4"/>
  <c r="T81" i="4"/>
  <c r="T280" i="4" l="1"/>
  <c r="T279" i="4" s="1"/>
  <c r="Z279" i="4" s="1"/>
  <c r="Z256" i="4"/>
  <c r="Z257" i="4"/>
  <c r="T152" i="4"/>
  <c r="T162" i="4" l="1"/>
  <c r="Z158" i="4"/>
  <c r="Z153" i="4"/>
  <c r="Z148" i="4"/>
  <c r="Z143" i="4"/>
  <c r="U141" i="4"/>
  <c r="W141" i="4"/>
  <c r="X141" i="4"/>
  <c r="Y141" i="4"/>
  <c r="T138" i="4"/>
  <c r="U137" i="4"/>
  <c r="U136" i="4" s="1"/>
  <c r="U134" i="4" s="1"/>
  <c r="W137" i="4"/>
  <c r="W136" i="4" s="1"/>
  <c r="W134" i="4" s="1"/>
  <c r="X137" i="4"/>
  <c r="X136" i="4" s="1"/>
  <c r="X134" i="4" s="1"/>
  <c r="Y137" i="4"/>
  <c r="Y136" i="4" s="1"/>
  <c r="Y134" i="4" s="1"/>
  <c r="T141" i="4"/>
  <c r="U146" i="4"/>
  <c r="W146" i="4"/>
  <c r="X146" i="4"/>
  <c r="Y146" i="4"/>
  <c r="U151" i="4"/>
  <c r="W151" i="4"/>
  <c r="X151" i="4"/>
  <c r="Y151" i="4"/>
  <c r="T151" i="4"/>
  <c r="U156" i="4"/>
  <c r="W156" i="4"/>
  <c r="X156" i="4"/>
  <c r="Y156" i="4"/>
  <c r="Z141" i="4" l="1"/>
  <c r="Z138" i="4"/>
  <c r="T150" i="4"/>
  <c r="T121" i="4"/>
  <c r="T120" i="4"/>
  <c r="T95" i="4"/>
  <c r="T147" i="4"/>
  <c r="T146" i="4" l="1"/>
  <c r="T124" i="4"/>
  <c r="T52" i="4" l="1"/>
  <c r="T49" i="4"/>
  <c r="T76" i="4"/>
  <c r="T297" i="4"/>
  <c r="T104" i="4"/>
  <c r="T110" i="4"/>
  <c r="T114" i="4"/>
  <c r="T113" i="4"/>
  <c r="T106" i="4"/>
  <c r="V106" i="4"/>
  <c r="W106" i="4"/>
  <c r="X106" i="4"/>
  <c r="Y106" i="4"/>
  <c r="T112" i="4"/>
  <c r="T99" i="4"/>
  <c r="T98" i="4"/>
  <c r="T89" i="4" l="1"/>
  <c r="Z89" i="4" s="1"/>
  <c r="T88" i="4"/>
  <c r="Z88" i="4" s="1"/>
  <c r="Z99" i="4"/>
  <c r="T97" i="4"/>
  <c r="Z97" i="4" s="1"/>
  <c r="Z87" i="4" l="1"/>
  <c r="T87" i="4"/>
  <c r="T248" i="4" l="1"/>
  <c r="U116" i="4" l="1"/>
  <c r="V116" i="4"/>
  <c r="W116" i="4"/>
  <c r="X116" i="4"/>
  <c r="Y116" i="4"/>
  <c r="T116" i="4"/>
  <c r="Z127" i="4"/>
  <c r="T254" i="4" l="1"/>
  <c r="T253" i="4" s="1"/>
  <c r="T246" i="4" s="1"/>
  <c r="Z283" i="4" l="1"/>
  <c r="Z254" i="4"/>
  <c r="Z255" i="4"/>
  <c r="Z280" i="4" l="1"/>
  <c r="Z284" i="4"/>
  <c r="Z263" i="4" l="1"/>
  <c r="T92" i="4" l="1"/>
  <c r="T79" i="4" s="1"/>
  <c r="U92" i="4" l="1"/>
  <c r="W92" i="4"/>
  <c r="X92" i="4"/>
  <c r="Y92" i="4"/>
  <c r="Z93" i="4"/>
  <c r="Z94" i="4"/>
  <c r="Z95" i="4"/>
  <c r="Z96" i="4"/>
  <c r="Z98" i="4"/>
  <c r="Z92" i="4" l="1"/>
  <c r="Z77" i="4"/>
  <c r="Z76" i="4"/>
  <c r="T157" i="4"/>
  <c r="T156" i="4" l="1"/>
  <c r="T137" i="4"/>
  <c r="Z60" i="4"/>
  <c r="Z53" i="4"/>
  <c r="Z50" i="4"/>
  <c r="Z40" i="4"/>
  <c r="Z75" i="4"/>
  <c r="T136" i="4" l="1"/>
  <c r="T134" i="4" s="1"/>
  <c r="Z137" i="4"/>
  <c r="T155" i="4"/>
  <c r="T117" i="4"/>
  <c r="Z74" i="4" l="1"/>
  <c r="Z277" i="4" l="1"/>
  <c r="Z274" i="4"/>
  <c r="Z68" i="4" l="1"/>
  <c r="T34" i="4"/>
  <c r="T245" i="4" l="1"/>
  <c r="V245" i="4"/>
  <c r="Z261" i="4"/>
  <c r="Z253" i="4"/>
  <c r="Z248" i="4" l="1"/>
  <c r="U245" i="4"/>
  <c r="Z59" i="4"/>
  <c r="Z61" i="4"/>
  <c r="Z63" i="4"/>
  <c r="Z64" i="4"/>
  <c r="Z65" i="4"/>
  <c r="Z31" i="4" l="1"/>
  <c r="T290" i="4" l="1"/>
  <c r="Z34" i="4" l="1"/>
  <c r="Z39" i="4"/>
  <c r="Z42" i="4"/>
  <c r="Z49" i="4"/>
  <c r="Z51" i="4"/>
  <c r="Z83" i="4"/>
  <c r="Z103" i="4"/>
  <c r="U22" i="4" l="1"/>
  <c r="V33" i="4"/>
  <c r="V29" i="4" s="1"/>
  <c r="W29" i="4"/>
  <c r="T33" i="4"/>
  <c r="T29" i="4" s="1"/>
  <c r="Z118" i="4" l="1"/>
  <c r="Z104" i="4" l="1"/>
  <c r="Y27" i="4" l="1"/>
  <c r="U25" i="4"/>
  <c r="V25" i="4"/>
  <c r="W25" i="4"/>
  <c r="X25" i="4"/>
  <c r="Y25" i="4"/>
  <c r="T25" i="4"/>
  <c r="W298" i="4"/>
  <c r="X298" i="4"/>
  <c r="Y298" i="4"/>
  <c r="Y79" i="4"/>
  <c r="Y23" i="4" s="1"/>
  <c r="T23" i="4"/>
  <c r="Y78" i="4"/>
  <c r="U115" i="4" l="1"/>
  <c r="U105" i="4" s="1"/>
  <c r="V115" i="4"/>
  <c r="V105" i="4" s="1"/>
  <c r="W115" i="4"/>
  <c r="W105" i="4" s="1"/>
  <c r="X115" i="4"/>
  <c r="X105" i="4" s="1"/>
  <c r="Y115" i="4"/>
  <c r="T115" i="4"/>
  <c r="T105" i="4" s="1"/>
  <c r="Y105" i="4" l="1"/>
  <c r="Z105" i="4" s="1"/>
  <c r="Y140" i="4"/>
  <c r="Y135" i="4" s="1"/>
  <c r="Y26" i="4" s="1"/>
  <c r="U106" i="4"/>
  <c r="U24" i="4" s="1"/>
  <c r="V24" i="4"/>
  <c r="W24" i="4"/>
  <c r="X24" i="4"/>
  <c r="Y24" i="4"/>
  <c r="Z24" i="4" s="1"/>
  <c r="Z106" i="4"/>
  <c r="T24" i="4"/>
  <c r="Z293" i="4"/>
  <c r="Z319" i="4"/>
  <c r="Z32" i="4"/>
  <c r="Z33" i="4"/>
  <c r="Z52" i="4"/>
  <c r="Z54" i="4"/>
  <c r="Z55" i="4"/>
  <c r="Z56" i="4"/>
  <c r="Z109" i="4"/>
  <c r="Z110" i="4"/>
  <c r="Z111" i="4"/>
  <c r="Z113" i="4"/>
  <c r="Z114" i="4"/>
  <c r="Z119" i="4"/>
  <c r="Z121" i="4"/>
  <c r="Z122" i="4"/>
  <c r="Z124" i="4"/>
  <c r="Z125" i="4"/>
  <c r="Z129" i="4"/>
  <c r="Z145" i="4"/>
  <c r="Z150" i="4"/>
  <c r="Z155" i="4"/>
  <c r="Z157" i="4"/>
  <c r="Z156" i="4" s="1"/>
  <c r="Z160" i="4"/>
  <c r="Z162" i="4"/>
  <c r="Z247" i="4"/>
  <c r="Z249" i="4"/>
  <c r="Z251" i="4"/>
  <c r="Z265" i="4"/>
  <c r="Z267" i="4"/>
  <c r="Z268" i="4"/>
  <c r="Z270" i="4"/>
  <c r="Z272" i="4"/>
  <c r="Z290" i="4"/>
  <c r="Z291" i="4"/>
  <c r="Z295" i="4"/>
  <c r="Z297" i="4"/>
  <c r="Z304" i="4"/>
  <c r="Z306" i="4"/>
  <c r="Z308" i="4"/>
  <c r="Z310" i="4"/>
  <c r="Z311" i="4"/>
  <c r="Z313" i="4"/>
  <c r="Z315" i="4"/>
  <c r="Z317" i="4"/>
  <c r="Z29" i="4" l="1"/>
  <c r="Y28" i="4"/>
  <c r="Y14" i="4" s="1"/>
  <c r="Z246" i="4"/>
  <c r="Z245" i="4" s="1"/>
  <c r="Z116" i="4"/>
  <c r="Z22" i="4" l="1"/>
  <c r="X79" i="4"/>
  <c r="X23" i="4" s="1"/>
  <c r="W79" i="4"/>
  <c r="W23" i="4" s="1"/>
  <c r="V79" i="4"/>
  <c r="V23" i="4" s="1"/>
  <c r="U79" i="4"/>
  <c r="U23" i="4" s="1"/>
  <c r="Z84" i="4" l="1"/>
  <c r="Z30" i="4" l="1"/>
  <c r="U298" i="4" l="1"/>
  <c r="T298" i="4"/>
  <c r="T78" i="4" l="1"/>
  <c r="T140" i="4"/>
  <c r="W140" i="4"/>
  <c r="W135" i="4" s="1"/>
  <c r="X140" i="4"/>
  <c r="X135" i="4" s="1"/>
  <c r="V298" i="4"/>
  <c r="Z140" i="4" l="1"/>
  <c r="Z300" i="4"/>
  <c r="Z301" i="4"/>
  <c r="Z147" i="4" l="1"/>
  <c r="Z146" i="4" s="1"/>
  <c r="U78" i="4"/>
  <c r="Z152" i="4"/>
  <c r="Z151" i="4" s="1"/>
  <c r="Z102" i="4"/>
  <c r="Z128" i="4"/>
  <c r="Z142" i="4"/>
  <c r="Z112" i="4"/>
  <c r="Z298" i="4" l="1"/>
  <c r="Z126" i="4"/>
  <c r="T28" i="4"/>
  <c r="Z107" i="4"/>
  <c r="Z120" i="4"/>
  <c r="Z123" i="4"/>
  <c r="Z81" i="4"/>
  <c r="Z117" i="4"/>
  <c r="W78" i="4"/>
  <c r="W28" i="4" s="1"/>
  <c r="T27" i="4"/>
  <c r="U27" i="4"/>
  <c r="V27" i="4"/>
  <c r="W27" i="4"/>
  <c r="X27" i="4"/>
  <c r="Z115" i="4" l="1"/>
  <c r="Z27" i="4"/>
  <c r="X78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78" i="4" l="1"/>
  <c r="T135" i="4"/>
  <c r="T26" i="4" s="1"/>
  <c r="U26" i="4"/>
  <c r="V26" i="4"/>
  <c r="W26" i="4"/>
  <c r="X26" i="4"/>
  <c r="Z26" i="4" l="1"/>
  <c r="Z23" i="4"/>
  <c r="Z79" i="4"/>
  <c r="Z135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20" i="4" l="1"/>
  <c r="U28" i="4"/>
  <c r="U14" i="4" s="1"/>
  <c r="V20" i="4" l="1"/>
  <c r="W20" i="4" s="1"/>
  <c r="X20" i="4" s="1"/>
  <c r="Z20" i="4" l="1"/>
  <c r="X28" i="4"/>
  <c r="X14" i="4" s="1"/>
  <c r="Z136" i="4" l="1"/>
  <c r="V28" i="4"/>
  <c r="Z28" i="4" s="1"/>
  <c r="Z134" i="4" l="1"/>
  <c r="V14" i="4"/>
  <c r="Z14" i="4" s="1"/>
</calcChain>
</file>

<file path=xl/sharedStrings.xml><?xml version="1.0" encoding="utf-8"?>
<sst xmlns="http://schemas.openxmlformats.org/spreadsheetml/2006/main" count="3085" uniqueCount="245">
  <si>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</si>
  <si>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</si>
  <si>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</si>
  <si>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</si>
  <si>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</si>
  <si>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</si>
  <si>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</si>
  <si>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</si>
  <si>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</si>
  <si>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</si>
  <si>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</si>
  <si>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</si>
  <si>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</si>
  <si>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</si>
  <si>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</si>
  <si>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</si>
  <si>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</si>
  <si>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</si>
  <si>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</si>
  <si>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</si>
  <si>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</si>
  <si>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</si>
  <si>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</si>
  <si>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</si>
  <si>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</si>
  <si>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</si>
  <si>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</si>
  <si>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</si>
  <si>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</si>
  <si>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</si>
  <si>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</si>
  <si>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</si>
  <si>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</si>
  <si>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</si>
  <si>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</si>
  <si>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</si>
  <si>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</si>
  <si>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</si>
  <si>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</si>
  <si>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</si>
  <si>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</si>
  <si>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</si>
  <si>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</si>
  <si>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</si>
  <si>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</si>
  <si>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</si>
  <si>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</si>
  <si>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</si>
  <si>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</si>
  <si>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</si>
  <si>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</si>
  <si>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</si>
  <si>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</si>
  <si>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</si>
  <si>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</si>
  <si>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</si>
  <si>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</si>
  <si>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</si>
  <si>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</si>
  <si>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</si>
  <si>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</si>
  <si>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</si>
  <si>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</si>
  <si>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</si>
  <si>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</si>
  <si>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</si>
  <si>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</si>
  <si>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</si>
  <si>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</si>
  <si>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</si>
  <si>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</si>
  <si>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</si>
  <si>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</si>
  <si>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</si>
  <si>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</si>
  <si>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</si>
  <si>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</si>
  <si>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</si>
  <si>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</si>
  <si>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</si>
  <si>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</si>
  <si>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</si>
  <si>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</si>
  <si>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</si>
  <si>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</si>
  <si>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</si>
  <si>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</si>
  <si>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</si>
  <si>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</si>
  <si>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</si>
  <si>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</si>
  <si>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</si>
  <si>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</si>
  <si>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</si>
  <si>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</si>
  <si>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</si>
  <si>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</si>
  <si>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</si>
  <si>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</si>
  <si>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</si>
  <si>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</si>
  <si>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</si>
  <si>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</si>
  <si>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</si>
  <si>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</si>
  <si>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</si>
  <si>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</si>
  <si>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</si>
  <si>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</si>
  <si>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</si>
  <si>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</si>
  <si>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</si>
  <si>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</si>
  <si>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</si>
  <si>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</si>
  <si>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</si>
  <si>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</si>
  <si>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</si>
  <si>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</si>
  <si>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</si>
  <si>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</si>
  <si>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</si>
  <si>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</si>
  <si>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</si>
  <si>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</si>
  <si>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</si>
  <si>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</si>
  <si>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</si>
  <si>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</si>
  <si>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</si>
  <si>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</si>
  <si>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</si>
  <si>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</si>
  <si>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</si>
  <si>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</si>
  <si>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</si>
  <si>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</si>
  <si>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</si>
  <si>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</si>
  <si>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</si>
  <si>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</si>
  <si>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</si>
  <si>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</si>
  <si>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</si>
  <si>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</si>
  <si>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</si>
  <si>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</si>
  <si>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</si>
  <si>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</si>
  <si>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</si>
  <si>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</si>
  <si>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</si>
  <si>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</si>
  <si>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</si>
  <si>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</si>
  <si>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</si>
  <si>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</si>
  <si>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</si>
  <si>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</si>
  <si>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</si>
  <si>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</si>
  <si>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</si>
  <si>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</si>
  <si>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</si>
  <si>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</si>
  <si>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</si>
  <si>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</si>
  <si>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</si>
  <si>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</si>
  <si>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</si>
  <si>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</si>
  <si>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</si>
  <si>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</si>
  <si>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</si>
  <si>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</si>
  <si>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</si>
  <si>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</si>
  <si>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</si>
  <si>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</si>
  <si>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</si>
  <si>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</si>
  <si>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</si>
  <si>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</si>
  <si>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</si>
  <si>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</si>
  <si>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</si>
  <si>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</si>
  <si>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</si>
  <si>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</si>
  <si>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</si>
  <si>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</si>
  <si>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</si>
  <si>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t xml:space="preserve">Показатель 3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</si>
  <si>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t>».</t>
  </si>
  <si>
    <t>«Приложение № 1</t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</si>
  <si>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</si>
  <si>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</si>
  <si>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</si>
  <si>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</si>
  <si>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</si>
  <si>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</si>
  <si>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</si>
  <si>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</si>
  <si>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</si>
  <si>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</si>
  <si>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</si>
  <si>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</si>
  <si>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</si>
  <si>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</si>
  <si>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t>к муниципальной программе города Твери</t>
  </si>
  <si>
    <t>M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</si>
  <si>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</si>
  <si>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t>Н</t>
  </si>
  <si>
    <t>R</t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</si>
  <si>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</si>
  <si>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t>О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</si>
  <si>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</si>
  <si>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</si>
  <si>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</si>
  <si>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t>-40,0 на 3.04</t>
  </si>
  <si>
    <t>N</t>
  </si>
  <si>
    <t>O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</si>
  <si>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</si>
  <si>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</si>
  <si>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</si>
  <si>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</si>
  <si>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</si>
  <si>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</si>
  <si>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</si>
  <si>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</si>
  <si>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</si>
  <si>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</si>
  <si>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</si>
  <si>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</si>
  <si>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</si>
  <si>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</si>
  <si>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</si>
  <si>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</si>
  <si>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</si>
  <si>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-20,0 на мер 3.04</t>
  </si>
  <si>
    <t>+40,0 с 3.03
+ 20,0 с 3.02</t>
  </si>
  <si>
    <t>+ 2425,0 от ЖКХ на разрытия</t>
  </si>
  <si>
    <t>+27,0 с Благоустройства</t>
  </si>
  <si>
    <t>И.о. начальника департамента дорожного хозяйства и благоустройства администрации города Твери                                                                                                                                                                                                       С.В. Романов</t>
  </si>
  <si>
    <t>Приложение 1 
к постановлению администрации города Твери
от «13» июля  2017 №  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</si>
</sst>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2" fillId="3" borderId="0" xfId="0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49" fontId="13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4"/>
  <sheetViews>
    <sheetView tabSelected="1" view="pageLayout" zoomScaleNormal="90" zoomScaleSheetLayoutView="80" workbookViewId="0">
      <selection activeCell="V1" sqref="V1:AA1"/>
    </sheetView>
  </sheetViews>
  <sheetFormatPr defaultColWidth="8.7109375" defaultRowHeight="15" outlineLevelCol="1" x14ac:dyDescent="0.25"/>
  <cols>
    <col min="1" max="16" width="2.28515625" style="23" customWidth="1"/>
    <col min="17" max="17" width="3.28515625" style="85" customWidth="1"/>
    <col min="18" max="18" width="70.5703125" style="23" customWidth="1"/>
    <col min="19" max="19" width="12" style="23" customWidth="1"/>
    <col min="20" max="20" width="12.140625" style="85" bestFit="1" customWidth="1"/>
    <col min="21" max="21" width="11.28515625" style="85" customWidth="1"/>
    <col min="22" max="22" width="11.7109375" style="85" customWidth="1"/>
    <col min="23" max="24" width="10.5703125" style="85" customWidth="1"/>
    <col min="25" max="25" width="10.42578125" style="85" customWidth="1"/>
    <col min="26" max="26" width="12.28515625" style="83" bestFit="1" customWidth="1"/>
    <col min="27" max="27" width="11.28515625" style="85" customWidth="1"/>
    <col min="28" max="28" width="25.7109375" style="48" customWidth="1" outlineLevel="1"/>
    <col min="29" max="29" width="25" style="48" customWidth="1" outlineLevel="1"/>
    <col min="30" max="30" width="26.140625" style="48" customWidth="1"/>
    <col min="31" max="32" width="8.7109375" style="1"/>
    <col min="33" max="16384" width="8.7109375" style="52"/>
  </cols>
  <sheetData>
    <row r="1" spans="1:32" ht="45" customHeight="1" x14ac:dyDescent="0.25">
      <c r="V1" s="106" t="s">
        <v>244</v>
      </c>
      <c r="W1" s="106"/>
      <c r="X1" s="106"/>
      <c r="Y1" s="106"/>
      <c r="Z1" s="106"/>
      <c r="AA1" s="106"/>
    </row>
    <row r="2" spans="1:32" ht="13.15" customHeight="1" x14ac:dyDescent="0.25">
      <c r="A2" s="106" t="s">
        <v>194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32" x14ac:dyDescent="0.25">
      <c r="A3" s="106" t="s">
        <v>209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32" ht="13.15" customHeight="1" x14ac:dyDescent="0.25">
      <c r="A4" s="106" t="s">
        <v>44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32" ht="13.15" customHeight="1" x14ac:dyDescent="0.25">
      <c r="A5" s="106" t="s">
        <v>189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</row>
    <row r="6" spans="1:32" ht="13.15" customHeight="1" x14ac:dyDescent="0.25">
      <c r="A6" s="50"/>
      <c r="B6" s="50"/>
      <c r="C6" s="82"/>
      <c r="D6" s="82"/>
      <c r="E6" s="82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R6" s="103"/>
      <c r="S6" s="103"/>
      <c r="T6" s="103"/>
      <c r="U6" s="103"/>
      <c r="V6" s="103"/>
      <c r="W6" s="103"/>
      <c r="X6" s="103"/>
      <c r="Y6" s="103"/>
      <c r="Z6" s="103"/>
      <c r="AA6" s="103"/>
    </row>
    <row r="7" spans="1:32" ht="19.149999999999999" customHeight="1" x14ac:dyDescent="0.25">
      <c r="A7" s="107" t="s">
        <v>16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</row>
    <row r="8" spans="1:32" ht="16.149999999999999" customHeight="1" x14ac:dyDescent="0.25">
      <c r="A8" s="107" t="s">
        <v>44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</row>
    <row r="9" spans="1:32" ht="24" customHeight="1" x14ac:dyDescent="0.25">
      <c r="A9" s="119" t="s">
        <v>198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</row>
    <row r="10" spans="1:32" x14ac:dyDescent="0.25">
      <c r="T10" s="24"/>
      <c r="U10" s="24"/>
    </row>
    <row r="11" spans="1:32" s="53" customFormat="1" ht="33.6" customHeight="1" x14ac:dyDescent="0.25">
      <c r="A11" s="112" t="s">
        <v>22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3" t="s">
        <v>17</v>
      </c>
      <c r="S11" s="113" t="s">
        <v>18</v>
      </c>
      <c r="T11" s="117" t="s">
        <v>62</v>
      </c>
      <c r="U11" s="117"/>
      <c r="V11" s="117"/>
      <c r="W11" s="117"/>
      <c r="X11" s="117"/>
      <c r="Y11" s="118"/>
      <c r="Z11" s="115" t="s">
        <v>14</v>
      </c>
      <c r="AA11" s="116"/>
      <c r="AB11" s="87"/>
      <c r="AC11" s="87"/>
      <c r="AD11" s="87"/>
      <c r="AE11" s="86"/>
      <c r="AF11" s="86"/>
    </row>
    <row r="12" spans="1:32" s="53" customFormat="1" ht="65.45" customHeight="1" x14ac:dyDescent="0.25">
      <c r="A12" s="111" t="s">
        <v>173</v>
      </c>
      <c r="B12" s="111"/>
      <c r="C12" s="111"/>
      <c r="D12" s="111" t="s">
        <v>0</v>
      </c>
      <c r="E12" s="111"/>
      <c r="F12" s="111" t="s">
        <v>26</v>
      </c>
      <c r="G12" s="111"/>
      <c r="H12" s="111" t="s">
        <v>27</v>
      </c>
      <c r="I12" s="111"/>
      <c r="J12" s="111"/>
      <c r="K12" s="111"/>
      <c r="L12" s="111"/>
      <c r="M12" s="111"/>
      <c r="N12" s="111"/>
      <c r="O12" s="111"/>
      <c r="P12" s="111"/>
      <c r="Q12" s="111"/>
      <c r="R12" s="114"/>
      <c r="S12" s="114"/>
      <c r="T12" s="105">
        <v>2015</v>
      </c>
      <c r="U12" s="105">
        <v>2016</v>
      </c>
      <c r="V12" s="105">
        <v>2017</v>
      </c>
      <c r="W12" s="105">
        <v>2018</v>
      </c>
      <c r="X12" s="105">
        <v>2019</v>
      </c>
      <c r="Y12" s="105">
        <v>2020</v>
      </c>
      <c r="Z12" s="105" t="s">
        <v>15</v>
      </c>
      <c r="AA12" s="105" t="s">
        <v>56</v>
      </c>
      <c r="AB12" s="87"/>
      <c r="AC12" s="87"/>
      <c r="AD12" s="87"/>
      <c r="AE12" s="86"/>
      <c r="AF12" s="86"/>
    </row>
    <row r="13" spans="1:32" s="54" customFormat="1" ht="11.25" x14ac:dyDescent="0.25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8">
        <v>10</v>
      </c>
      <c r="K13" s="38">
        <v>11</v>
      </c>
      <c r="L13" s="38">
        <v>12</v>
      </c>
      <c r="M13" s="38">
        <v>13</v>
      </c>
      <c r="N13" s="38">
        <v>14</v>
      </c>
      <c r="O13" s="38">
        <v>15</v>
      </c>
      <c r="P13" s="38">
        <v>16</v>
      </c>
      <c r="Q13" s="38">
        <v>17</v>
      </c>
      <c r="R13" s="38">
        <v>18</v>
      </c>
      <c r="S13" s="38">
        <v>19</v>
      </c>
      <c r="T13" s="38">
        <v>20</v>
      </c>
      <c r="U13" s="38">
        <v>21</v>
      </c>
      <c r="V13" s="38">
        <v>22</v>
      </c>
      <c r="W13" s="38">
        <v>23</v>
      </c>
      <c r="X13" s="38">
        <v>24</v>
      </c>
      <c r="Y13" s="38">
        <v>25</v>
      </c>
      <c r="Z13" s="38">
        <v>26</v>
      </c>
      <c r="AA13" s="38">
        <v>27</v>
      </c>
      <c r="AB13" s="88"/>
      <c r="AC13" s="88"/>
      <c r="AD13" s="88"/>
      <c r="AE13" s="89"/>
      <c r="AF13" s="89"/>
    </row>
    <row r="14" spans="1:32" s="1" customFormat="1" ht="25.9" customHeight="1" x14ac:dyDescent="0.25">
      <c r="A14" s="55" t="s">
        <v>23</v>
      </c>
      <c r="B14" s="55" t="s">
        <v>23</v>
      </c>
      <c r="C14" s="55" t="s">
        <v>23</v>
      </c>
      <c r="D14" s="55" t="s">
        <v>23</v>
      </c>
      <c r="E14" s="55" t="s">
        <v>23</v>
      </c>
      <c r="F14" s="55" t="s">
        <v>23</v>
      </c>
      <c r="G14" s="55" t="s">
        <v>23</v>
      </c>
      <c r="H14" s="55" t="s">
        <v>23</v>
      </c>
      <c r="I14" s="55" t="s">
        <v>31</v>
      </c>
      <c r="J14" s="55" t="s">
        <v>23</v>
      </c>
      <c r="K14" s="55" t="s">
        <v>23</v>
      </c>
      <c r="L14" s="55" t="s">
        <v>23</v>
      </c>
      <c r="M14" s="55" t="s">
        <v>23</v>
      </c>
      <c r="N14" s="55" t="s">
        <v>23</v>
      </c>
      <c r="O14" s="55" t="s">
        <v>23</v>
      </c>
      <c r="P14" s="55" t="s">
        <v>23</v>
      </c>
      <c r="Q14" s="55" t="s">
        <v>23</v>
      </c>
      <c r="R14" s="56" t="s">
        <v>43</v>
      </c>
      <c r="S14" s="32" t="s">
        <v>59</v>
      </c>
      <c r="T14" s="4">
        <f t="shared" ref="T14:Y14" si="0">T28+T245</f>
        <v>1608712.7999999998</v>
      </c>
      <c r="U14" s="4">
        <f t="shared" si="0"/>
        <v>1228375.3</v>
      </c>
      <c r="V14" s="4">
        <f t="shared" si="0"/>
        <v>1004740.5</v>
      </c>
      <c r="W14" s="4">
        <f t="shared" si="0"/>
        <v>579986</v>
      </c>
      <c r="X14" s="4">
        <f t="shared" si="0"/>
        <v>565693</v>
      </c>
      <c r="Y14" s="4">
        <f t="shared" si="0"/>
        <v>493543</v>
      </c>
      <c r="Z14" s="4">
        <f>T14+U14+V14+W14+X14+Y14</f>
        <v>5481050.5999999996</v>
      </c>
      <c r="AA14" s="32">
        <v>2020</v>
      </c>
      <c r="AB14" s="48"/>
      <c r="AC14" s="48"/>
      <c r="AD14" s="48"/>
    </row>
    <row r="15" spans="1:32" s="60" customFormat="1" ht="13.5" hidden="1" customHeight="1" x14ac:dyDescent="0.25">
      <c r="A15" s="57" t="e">
        <f>'[1]Всего-дор'!A11</f>
        <v>#REF!</v>
      </c>
      <c r="B15" s="57"/>
      <c r="C15" s="57"/>
      <c r="D15" s="57"/>
      <c r="E15" s="57"/>
      <c r="F15" s="57"/>
      <c r="G15" s="57"/>
      <c r="H15" s="58" t="e">
        <f>'[1]Всего-дор'!C11</f>
        <v>#REF!</v>
      </c>
      <c r="I15" s="57" t="e">
        <f>'[1]Всего-дор'!D11</f>
        <v>#REF!</v>
      </c>
      <c r="J15" s="57" t="e">
        <f>'[1]Всего-дор'!E11</f>
        <v>#REF!</v>
      </c>
      <c r="K15" s="57" t="e">
        <f>'[1]Всего-дор'!F11</f>
        <v>#REF!</v>
      </c>
      <c r="L15" s="57" t="e">
        <f>'[1]Всего-дор'!G11</f>
        <v>#REF!</v>
      </c>
      <c r="M15" s="57"/>
      <c r="N15" s="57"/>
      <c r="O15" s="57"/>
      <c r="P15" s="57"/>
      <c r="Q15" s="57" t="e">
        <f>'[1]Всего-дор'!H11</f>
        <v>#REF!</v>
      </c>
      <c r="R15" s="59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20" si="2">V15*105.1%</f>
        <v>#REF!</v>
      </c>
      <c r="X15" s="5" t="e">
        <f t="shared" ref="X15:X20" si="3">W15*104.9%</f>
        <v>#REF!</v>
      </c>
      <c r="Y15" s="5"/>
      <c r="Z15" s="4" t="e">
        <f t="shared" ref="Z15:Z104" si="4">T15+U15+V15+W15+X15+Y15</f>
        <v>#REF!</v>
      </c>
      <c r="AA15" s="27">
        <v>2019</v>
      </c>
      <c r="AB15" s="90"/>
      <c r="AC15" s="90"/>
      <c r="AD15" s="90"/>
      <c r="AE15" s="91"/>
      <c r="AF15" s="91"/>
    </row>
    <row r="16" spans="1:32" s="60" customFormat="1" ht="13.5" hidden="1" customHeight="1" x14ac:dyDescent="0.25">
      <c r="A16" s="57" t="str">
        <f>'[1]Всего-дор'!A12</f>
        <v>003</v>
      </c>
      <c r="B16" s="57"/>
      <c r="C16" s="57"/>
      <c r="D16" s="57"/>
      <c r="E16" s="57"/>
      <c r="F16" s="57"/>
      <c r="G16" s="57"/>
      <c r="H16" s="58" t="e">
        <f>'[1]Всего-дор'!C12</f>
        <v>#REF!</v>
      </c>
      <c r="I16" s="57" t="e">
        <f>'[1]Всего-дор'!D12</f>
        <v>#REF!</v>
      </c>
      <c r="J16" s="57" t="e">
        <f>'[1]Всего-дор'!E12</f>
        <v>#REF!</v>
      </c>
      <c r="K16" s="57" t="e">
        <f>'[1]Всего-дор'!F12</f>
        <v>#REF!</v>
      </c>
      <c r="L16" s="57" t="e">
        <f>'[1]Всего-дор'!G12</f>
        <v>#REF!</v>
      </c>
      <c r="M16" s="57"/>
      <c r="N16" s="57"/>
      <c r="O16" s="57"/>
      <c r="P16" s="57"/>
      <c r="Q16" s="57" t="e">
        <f>'[1]Всего-дор'!H12</f>
        <v>#REF!</v>
      </c>
      <c r="R16" s="59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90"/>
      <c r="AC16" s="90"/>
      <c r="AD16" s="90"/>
      <c r="AE16" s="91"/>
      <c r="AF16" s="91"/>
    </row>
    <row r="17" spans="1:32" s="60" customFormat="1" ht="13.5" hidden="1" customHeight="1" x14ac:dyDescent="0.25">
      <c r="A17" s="57" t="str">
        <f>'[1]Всего-дор'!A13</f>
        <v>004</v>
      </c>
      <c r="B17" s="57"/>
      <c r="C17" s="57"/>
      <c r="D17" s="57"/>
      <c r="E17" s="57"/>
      <c r="F17" s="57"/>
      <c r="G17" s="57"/>
      <c r="H17" s="58" t="e">
        <f>'[1]Всего-дор'!C13</f>
        <v>#REF!</v>
      </c>
      <c r="I17" s="57" t="e">
        <f>'[1]Всего-дор'!D13</f>
        <v>#REF!</v>
      </c>
      <c r="J17" s="57" t="e">
        <f>'[1]Всего-дор'!E13</f>
        <v>#REF!</v>
      </c>
      <c r="K17" s="57" t="e">
        <f>'[1]Всего-дор'!F13</f>
        <v>#REF!</v>
      </c>
      <c r="L17" s="57" t="e">
        <f>'[1]Всего-дор'!G13</f>
        <v>#REF!</v>
      </c>
      <c r="M17" s="57"/>
      <c r="N17" s="57"/>
      <c r="O17" s="57"/>
      <c r="P17" s="57"/>
      <c r="Q17" s="57" t="e">
        <f>'[1]Всего-дор'!H13</f>
        <v>#REF!</v>
      </c>
      <c r="R17" s="59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90"/>
      <c r="AC17" s="90"/>
      <c r="AD17" s="90"/>
      <c r="AE17" s="91"/>
      <c r="AF17" s="91"/>
    </row>
    <row r="18" spans="1:32" s="60" customFormat="1" ht="13.5" hidden="1" customHeight="1" x14ac:dyDescent="0.25">
      <c r="A18" s="57" t="str">
        <f>'[1]Всего-дор'!A14</f>
        <v>005</v>
      </c>
      <c r="B18" s="57"/>
      <c r="C18" s="57"/>
      <c r="D18" s="57"/>
      <c r="E18" s="57"/>
      <c r="F18" s="57"/>
      <c r="G18" s="57"/>
      <c r="H18" s="58" t="e">
        <f>'[1]Всего-дор'!C14</f>
        <v>#REF!</v>
      </c>
      <c r="I18" s="57" t="e">
        <f>'[1]Всего-дор'!D14</f>
        <v>#REF!</v>
      </c>
      <c r="J18" s="57" t="e">
        <f>'[1]Всего-дор'!E14</f>
        <v>#REF!</v>
      </c>
      <c r="K18" s="57" t="e">
        <f>'[1]Всего-дор'!F14</f>
        <v>#REF!</v>
      </c>
      <c r="L18" s="57" t="e">
        <f>'[1]Всего-дор'!G14</f>
        <v>#REF!</v>
      </c>
      <c r="M18" s="57"/>
      <c r="N18" s="57"/>
      <c r="O18" s="57"/>
      <c r="P18" s="57"/>
      <c r="Q18" s="57" t="e">
        <f>'[1]Всего-дор'!H14</f>
        <v>#REF!</v>
      </c>
      <c r="R18" s="59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90"/>
      <c r="AC18" s="90"/>
      <c r="AD18" s="90"/>
      <c r="AE18" s="91"/>
      <c r="AF18" s="91"/>
    </row>
    <row r="19" spans="1:32" s="60" customFormat="1" ht="13.5" hidden="1" customHeight="1" x14ac:dyDescent="0.25">
      <c r="A19" s="57" t="str">
        <f>'[1]Всего-дор'!A15</f>
        <v>006</v>
      </c>
      <c r="B19" s="57"/>
      <c r="C19" s="57"/>
      <c r="D19" s="57"/>
      <c r="E19" s="57"/>
      <c r="F19" s="57"/>
      <c r="G19" s="57"/>
      <c r="H19" s="58" t="e">
        <f>'[1]Всего-дор'!C15</f>
        <v>#REF!</v>
      </c>
      <c r="I19" s="57" t="e">
        <f>'[1]Всего-дор'!D15</f>
        <v>#REF!</v>
      </c>
      <c r="J19" s="57" t="e">
        <f>'[1]Всего-дор'!E15</f>
        <v>#REF!</v>
      </c>
      <c r="K19" s="57" t="e">
        <f>'[1]Всего-дор'!F15</f>
        <v>#REF!</v>
      </c>
      <c r="L19" s="57" t="e">
        <f>'[1]Всего-дор'!G15</f>
        <v>#REF!</v>
      </c>
      <c r="M19" s="57"/>
      <c r="N19" s="57"/>
      <c r="O19" s="57"/>
      <c r="P19" s="57"/>
      <c r="Q19" s="57" t="e">
        <f>'[1]Всего-дор'!H15</f>
        <v>#REF!</v>
      </c>
      <c r="R19" s="59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90"/>
      <c r="AC19" s="90"/>
      <c r="AD19" s="90"/>
      <c r="AE19" s="91"/>
      <c r="AF19" s="91"/>
    </row>
    <row r="20" spans="1:32" s="60" customFormat="1" ht="1.1499999999999999" hidden="1" customHeight="1" x14ac:dyDescent="0.25">
      <c r="A20" s="57" t="str">
        <f>'[1]Всего-дор'!A16</f>
        <v>007</v>
      </c>
      <c r="B20" s="57"/>
      <c r="C20" s="57"/>
      <c r="D20" s="57"/>
      <c r="E20" s="57"/>
      <c r="F20" s="57"/>
      <c r="G20" s="57"/>
      <c r="H20" s="58" t="e">
        <f>'[1]Всего-дор'!C16</f>
        <v>#REF!</v>
      </c>
      <c r="I20" s="57" t="e">
        <f>'[1]Всего-дор'!D16</f>
        <v>#REF!</v>
      </c>
      <c r="J20" s="57" t="e">
        <f>'[1]Всего-дор'!E16</f>
        <v>#REF!</v>
      </c>
      <c r="K20" s="57" t="e">
        <f>'[1]Всего-дор'!F16</f>
        <v>#REF!</v>
      </c>
      <c r="L20" s="57" t="e">
        <f>'[1]Всего-дор'!G16</f>
        <v>#REF!</v>
      </c>
      <c r="M20" s="57"/>
      <c r="N20" s="57"/>
      <c r="O20" s="57"/>
      <c r="P20" s="57"/>
      <c r="Q20" s="57" t="e">
        <f>'[1]Всего-дор'!H16</f>
        <v>#REF!</v>
      </c>
      <c r="R20" s="59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90"/>
      <c r="AC20" s="90"/>
      <c r="AD20" s="90"/>
      <c r="AE20" s="91"/>
      <c r="AF20" s="91"/>
    </row>
    <row r="21" spans="1:32" s="22" customFormat="1" ht="44.25" x14ac:dyDescent="0.25">
      <c r="A21" s="41"/>
      <c r="B21" s="41"/>
      <c r="C21" s="41"/>
      <c r="D21" s="41"/>
      <c r="E21" s="41"/>
      <c r="F21" s="41"/>
      <c r="G21" s="41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39" t="s">
        <v>78</v>
      </c>
      <c r="S21" s="15"/>
      <c r="T21" s="8"/>
      <c r="U21" s="8"/>
      <c r="V21" s="5"/>
      <c r="W21" s="5"/>
      <c r="X21" s="5"/>
      <c r="Y21" s="5"/>
      <c r="Z21" s="5"/>
      <c r="AA21" s="15"/>
      <c r="AB21" s="48"/>
      <c r="AC21" s="48"/>
      <c r="AD21" s="48"/>
      <c r="AE21" s="1"/>
      <c r="AF21" s="1"/>
    </row>
    <row r="22" spans="1:32" s="22" customFormat="1" ht="45" x14ac:dyDescent="0.25">
      <c r="A22" s="41"/>
      <c r="B22" s="41"/>
      <c r="C22" s="41"/>
      <c r="D22" s="41"/>
      <c r="E22" s="41"/>
      <c r="F22" s="41"/>
      <c r="G22" s="41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17" t="s">
        <v>79</v>
      </c>
      <c r="S22" s="15" t="s">
        <v>60</v>
      </c>
      <c r="T22" s="8"/>
      <c r="U22" s="8">
        <f>U31</f>
        <v>18.7</v>
      </c>
      <c r="V22" s="8"/>
      <c r="W22" s="8"/>
      <c r="X22" s="8"/>
      <c r="Y22" s="8"/>
      <c r="Z22" s="5">
        <f t="shared" si="4"/>
        <v>18.7</v>
      </c>
      <c r="AA22" s="15">
        <v>2016</v>
      </c>
      <c r="AB22" s="48"/>
      <c r="AC22" s="48"/>
      <c r="AD22" s="48"/>
      <c r="AE22" s="1"/>
      <c r="AF22" s="1"/>
    </row>
    <row r="23" spans="1:32" s="22" customFormat="1" ht="29.25" x14ac:dyDescent="0.25">
      <c r="A23" s="41"/>
      <c r="B23" s="41"/>
      <c r="C23" s="41"/>
      <c r="D23" s="41"/>
      <c r="E23" s="41"/>
      <c r="F23" s="41"/>
      <c r="G23" s="41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17" t="s">
        <v>80</v>
      </c>
      <c r="S23" s="15" t="s">
        <v>60</v>
      </c>
      <c r="T23" s="8">
        <f t="shared" ref="T23:Y23" si="5">T79</f>
        <v>223.1</v>
      </c>
      <c r="U23" s="8">
        <f t="shared" si="5"/>
        <v>315.7</v>
      </c>
      <c r="V23" s="8">
        <f t="shared" si="5"/>
        <v>98.7</v>
      </c>
      <c r="W23" s="8">
        <f t="shared" si="5"/>
        <v>20.8</v>
      </c>
      <c r="X23" s="8">
        <f t="shared" si="5"/>
        <v>19</v>
      </c>
      <c r="Y23" s="8">
        <f t="shared" si="5"/>
        <v>18.2</v>
      </c>
      <c r="Z23" s="5">
        <f t="shared" si="4"/>
        <v>695.5</v>
      </c>
      <c r="AA23" s="15">
        <v>2020</v>
      </c>
      <c r="AB23" s="48"/>
      <c r="AC23" s="48"/>
      <c r="AD23" s="48"/>
      <c r="AE23" s="1"/>
      <c r="AF23" s="1"/>
    </row>
    <row r="24" spans="1:32" s="22" customFormat="1" ht="30" x14ac:dyDescent="0.25">
      <c r="A24" s="41"/>
      <c r="B24" s="41"/>
      <c r="C24" s="41"/>
      <c r="D24" s="41"/>
      <c r="E24" s="41"/>
      <c r="F24" s="41"/>
      <c r="G24" s="41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17" t="s">
        <v>81</v>
      </c>
      <c r="S24" s="15" t="s">
        <v>60</v>
      </c>
      <c r="T24" s="8">
        <f t="shared" ref="T24:Y24" si="6">T106</f>
        <v>6722.4</v>
      </c>
      <c r="U24" s="8">
        <f t="shared" si="6"/>
        <v>5804.6</v>
      </c>
      <c r="V24" s="8">
        <f t="shared" si="6"/>
        <v>5804.6</v>
      </c>
      <c r="W24" s="8">
        <f t="shared" si="6"/>
        <v>5804.6</v>
      </c>
      <c r="X24" s="8">
        <f t="shared" si="6"/>
        <v>5804.6</v>
      </c>
      <c r="Y24" s="8">
        <f t="shared" si="6"/>
        <v>5804.6</v>
      </c>
      <c r="Z24" s="5">
        <f>Y24</f>
        <v>5804.6</v>
      </c>
      <c r="AA24" s="15">
        <v>2020</v>
      </c>
      <c r="AB24" s="48"/>
      <c r="AC24" s="48"/>
      <c r="AD24" s="48"/>
      <c r="AE24" s="1"/>
      <c r="AF24" s="1"/>
    </row>
    <row r="25" spans="1:32" s="22" customFormat="1" ht="60.6" customHeight="1" x14ac:dyDescent="0.25">
      <c r="A25" s="41"/>
      <c r="B25" s="41"/>
      <c r="C25" s="41"/>
      <c r="D25" s="41"/>
      <c r="E25" s="41"/>
      <c r="F25" s="41"/>
      <c r="G25" s="41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17" t="s">
        <v>82</v>
      </c>
      <c r="S25" s="15" t="s">
        <v>55</v>
      </c>
      <c r="T25" s="21">
        <f t="shared" ref="T25:Y25" si="7">T110</f>
        <v>2000</v>
      </c>
      <c r="U25" s="21">
        <f t="shared" si="7"/>
        <v>2862</v>
      </c>
      <c r="V25" s="21">
        <f t="shared" si="7"/>
        <v>2500</v>
      </c>
      <c r="W25" s="21">
        <f t="shared" si="7"/>
        <v>2500</v>
      </c>
      <c r="X25" s="21">
        <f t="shared" si="7"/>
        <v>2300</v>
      </c>
      <c r="Y25" s="21">
        <f t="shared" si="7"/>
        <v>2300</v>
      </c>
      <c r="Z25" s="6">
        <f t="shared" si="4"/>
        <v>14462</v>
      </c>
      <c r="AA25" s="15">
        <v>2020</v>
      </c>
      <c r="AB25" s="48"/>
      <c r="AC25" s="48"/>
      <c r="AD25" s="48"/>
      <c r="AE25" s="1"/>
      <c r="AF25" s="1"/>
    </row>
    <row r="26" spans="1:32" s="22" customFormat="1" ht="57.6" customHeight="1" x14ac:dyDescent="0.25">
      <c r="A26" s="41"/>
      <c r="B26" s="41"/>
      <c r="C26" s="41"/>
      <c r="D26" s="41"/>
      <c r="E26" s="41"/>
      <c r="F26" s="41"/>
      <c r="G26" s="41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17" t="s">
        <v>83</v>
      </c>
      <c r="S26" s="15" t="s">
        <v>60</v>
      </c>
      <c r="T26" s="8">
        <f t="shared" ref="T26:Y26" si="8">T135</f>
        <v>58.2</v>
      </c>
      <c r="U26" s="8">
        <f t="shared" si="8"/>
        <v>27.765300000000003</v>
      </c>
      <c r="V26" s="8">
        <f t="shared" si="8"/>
        <v>121.43999999999998</v>
      </c>
      <c r="W26" s="8">
        <f t="shared" si="8"/>
        <v>4</v>
      </c>
      <c r="X26" s="8">
        <f t="shared" si="8"/>
        <v>10.5</v>
      </c>
      <c r="Y26" s="8">
        <f t="shared" si="8"/>
        <v>10.5</v>
      </c>
      <c r="Z26" s="5">
        <f t="shared" si="4"/>
        <v>232.40530000000001</v>
      </c>
      <c r="AA26" s="15">
        <v>2020</v>
      </c>
      <c r="AB26" s="48"/>
      <c r="AC26" s="48"/>
      <c r="AD26" s="48"/>
      <c r="AE26" s="1"/>
      <c r="AF26" s="1"/>
    </row>
    <row r="27" spans="1:32" s="22" customFormat="1" ht="32.450000000000003" customHeight="1" x14ac:dyDescent="0.25">
      <c r="A27" s="41"/>
      <c r="B27" s="41"/>
      <c r="C27" s="41"/>
      <c r="D27" s="41"/>
      <c r="E27" s="41"/>
      <c r="F27" s="41"/>
      <c r="G27" s="41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17" t="s">
        <v>84</v>
      </c>
      <c r="S27" s="15" t="s">
        <v>61</v>
      </c>
      <c r="T27" s="8">
        <f t="shared" ref="T27:Y27" si="9">T247</f>
        <v>32718</v>
      </c>
      <c r="U27" s="8">
        <f t="shared" si="9"/>
        <v>19505</v>
      </c>
      <c r="V27" s="8">
        <f t="shared" si="9"/>
        <v>26453.200000000001</v>
      </c>
      <c r="W27" s="8">
        <f t="shared" si="9"/>
        <v>26453.200000000001</v>
      </c>
      <c r="X27" s="8">
        <f t="shared" si="9"/>
        <v>26453.200000000001</v>
      </c>
      <c r="Y27" s="8">
        <f t="shared" si="9"/>
        <v>26453.200000000001</v>
      </c>
      <c r="Z27" s="5">
        <f t="shared" si="4"/>
        <v>158035.80000000002</v>
      </c>
      <c r="AA27" s="15">
        <v>2020</v>
      </c>
      <c r="AB27" s="48"/>
      <c r="AC27" s="48"/>
      <c r="AD27" s="48"/>
      <c r="AE27" s="1"/>
      <c r="AF27" s="1"/>
    </row>
    <row r="28" spans="1:32" ht="25.15" customHeight="1" x14ac:dyDescent="0.25">
      <c r="A28" s="61" t="s">
        <v>23</v>
      </c>
      <c r="B28" s="61" t="s">
        <v>23</v>
      </c>
      <c r="C28" s="61" t="s">
        <v>23</v>
      </c>
      <c r="D28" s="61" t="s">
        <v>23</v>
      </c>
      <c r="E28" s="61" t="s">
        <v>33</v>
      </c>
      <c r="F28" s="61" t="s">
        <v>23</v>
      </c>
      <c r="G28" s="61" t="s">
        <v>32</v>
      </c>
      <c r="H28" s="61" t="s">
        <v>23</v>
      </c>
      <c r="I28" s="61" t="s">
        <v>31</v>
      </c>
      <c r="J28" s="61" t="s">
        <v>24</v>
      </c>
      <c r="K28" s="61" t="s">
        <v>23</v>
      </c>
      <c r="L28" s="61" t="s">
        <v>23</v>
      </c>
      <c r="M28" s="61" t="s">
        <v>23</v>
      </c>
      <c r="N28" s="61" t="s">
        <v>23</v>
      </c>
      <c r="O28" s="61" t="s">
        <v>23</v>
      </c>
      <c r="P28" s="61" t="s">
        <v>23</v>
      </c>
      <c r="Q28" s="61" t="s">
        <v>23</v>
      </c>
      <c r="R28" s="62" t="s">
        <v>85</v>
      </c>
      <c r="S28" s="7" t="s">
        <v>59</v>
      </c>
      <c r="T28" s="3">
        <f t="shared" ref="T28:Y28" si="10">T29+T78+T105+T134</f>
        <v>995047.89999999979</v>
      </c>
      <c r="U28" s="3">
        <f t="shared" si="10"/>
        <v>885042.6</v>
      </c>
      <c r="V28" s="3">
        <f t="shared" si="10"/>
        <v>760188.5</v>
      </c>
      <c r="W28" s="3">
        <f t="shared" si="10"/>
        <v>476986</v>
      </c>
      <c r="X28" s="3">
        <f t="shared" si="10"/>
        <v>471992.99999999994</v>
      </c>
      <c r="Y28" s="3">
        <f t="shared" si="10"/>
        <v>383383</v>
      </c>
      <c r="Z28" s="3">
        <f>T28+U28+V28+W28+X28+Y28</f>
        <v>3972641</v>
      </c>
      <c r="AA28" s="7">
        <v>2020</v>
      </c>
    </row>
    <row r="29" spans="1:32" s="65" customFormat="1" ht="45" customHeight="1" x14ac:dyDescent="0.25">
      <c r="A29" s="63" t="s">
        <v>23</v>
      </c>
      <c r="B29" s="63" t="s">
        <v>23</v>
      </c>
      <c r="C29" s="63" t="s">
        <v>23</v>
      </c>
      <c r="D29" s="63" t="s">
        <v>23</v>
      </c>
      <c r="E29" s="63" t="s">
        <v>33</v>
      </c>
      <c r="F29" s="63" t="s">
        <v>23</v>
      </c>
      <c r="G29" s="63" t="s">
        <v>32</v>
      </c>
      <c r="H29" s="63" t="s">
        <v>23</v>
      </c>
      <c r="I29" s="63" t="s">
        <v>31</v>
      </c>
      <c r="J29" s="63" t="s">
        <v>24</v>
      </c>
      <c r="K29" s="63" t="s">
        <v>23</v>
      </c>
      <c r="L29" s="63" t="s">
        <v>24</v>
      </c>
      <c r="M29" s="63" t="s">
        <v>23</v>
      </c>
      <c r="N29" s="63" t="s">
        <v>23</v>
      </c>
      <c r="O29" s="63" t="s">
        <v>23</v>
      </c>
      <c r="P29" s="63" t="s">
        <v>23</v>
      </c>
      <c r="Q29" s="63" t="s">
        <v>23</v>
      </c>
      <c r="R29" s="64" t="s">
        <v>38</v>
      </c>
      <c r="S29" s="28" t="s">
        <v>59</v>
      </c>
      <c r="T29" s="16">
        <f>T33+T39+T42+T49+T52+T55+T57+T59+T63+T66+T68+T71+T76</f>
        <v>87304.3</v>
      </c>
      <c r="U29" s="16">
        <f>U33+U39+U42+U49+U52+U55+U57+U59+U63+U66+U68+U71</f>
        <v>18427.8</v>
      </c>
      <c r="V29" s="16">
        <f>V33+V39+V41+V49+V52+V55+V57+V59+V63+V66+V68</f>
        <v>109221.2</v>
      </c>
      <c r="W29" s="16">
        <f>W33+W39+W42+W49+W52+W55+W57+W59+W63+W66+W68</f>
        <v>37350</v>
      </c>
      <c r="X29" s="16">
        <f>X33+X39+X42+X49+X52+X55+X57+X59+X63+X66+X68</f>
        <v>72150</v>
      </c>
      <c r="Y29" s="16"/>
      <c r="Z29" s="16">
        <f>Z33+Z39+Z41+Z49+Z52+Z55+Z57+Z59+Z63+Z66+Z68+Z71+Z76</f>
        <v>324453.3</v>
      </c>
      <c r="AA29" s="28">
        <v>2019</v>
      </c>
      <c r="AB29" s="42"/>
      <c r="AC29" s="42"/>
      <c r="AD29" s="42"/>
      <c r="AE29" s="43"/>
      <c r="AF29" s="43"/>
    </row>
    <row r="30" spans="1:32" s="2" customFormat="1" ht="29.25" x14ac:dyDescent="0.25">
      <c r="A30" s="40"/>
      <c r="B30" s="40"/>
      <c r="C30" s="40"/>
      <c r="D30" s="40"/>
      <c r="E30" s="40"/>
      <c r="F30" s="40"/>
      <c r="G30" s="40"/>
      <c r="H30" s="40"/>
      <c r="I30" s="41"/>
      <c r="J30" s="40"/>
      <c r="K30" s="40"/>
      <c r="L30" s="40"/>
      <c r="M30" s="40"/>
      <c r="N30" s="40"/>
      <c r="O30" s="40"/>
      <c r="P30" s="40"/>
      <c r="Q30" s="40"/>
      <c r="R30" s="39" t="s">
        <v>86</v>
      </c>
      <c r="S30" s="15" t="s">
        <v>11</v>
      </c>
      <c r="T30" s="8"/>
      <c r="U30" s="8">
        <f>U36+U46+U61+U64</f>
        <v>0.6</v>
      </c>
      <c r="V30" s="8">
        <f>V36+V46+V61+V64</f>
        <v>0.5</v>
      </c>
      <c r="W30" s="8">
        <f>W36+W46+W61+W64</f>
        <v>0.53</v>
      </c>
      <c r="X30" s="8">
        <f>X46+X61</f>
        <v>1.3</v>
      </c>
      <c r="Y30" s="8"/>
      <c r="Z30" s="5">
        <f t="shared" si="4"/>
        <v>2.93</v>
      </c>
      <c r="AA30" s="15">
        <v>2019</v>
      </c>
      <c r="AB30" s="42"/>
      <c r="AC30" s="42"/>
      <c r="AD30" s="42"/>
      <c r="AE30" s="43"/>
      <c r="AF30" s="43"/>
    </row>
    <row r="31" spans="1:32" s="2" customFormat="1" ht="29.25" x14ac:dyDescent="0.25">
      <c r="A31" s="40"/>
      <c r="B31" s="40"/>
      <c r="C31" s="40"/>
      <c r="D31" s="40"/>
      <c r="E31" s="40"/>
      <c r="F31" s="40"/>
      <c r="G31" s="40"/>
      <c r="H31" s="40"/>
      <c r="I31" s="41"/>
      <c r="J31" s="40"/>
      <c r="K31" s="40"/>
      <c r="L31" s="40"/>
      <c r="M31" s="40"/>
      <c r="N31" s="40"/>
      <c r="O31" s="40"/>
      <c r="P31" s="40"/>
      <c r="Q31" s="40"/>
      <c r="R31" s="39" t="s">
        <v>87</v>
      </c>
      <c r="S31" s="15" t="s">
        <v>60</v>
      </c>
      <c r="T31" s="8"/>
      <c r="U31" s="8">
        <f>U37+U47+U62+U65</f>
        <v>18.7</v>
      </c>
      <c r="V31" s="8"/>
      <c r="W31" s="8"/>
      <c r="X31" s="8"/>
      <c r="Y31" s="8"/>
      <c r="Z31" s="5">
        <f t="shared" si="4"/>
        <v>18.7</v>
      </c>
      <c r="AA31" s="15">
        <v>2016</v>
      </c>
      <c r="AB31" s="42"/>
      <c r="AC31" s="42"/>
      <c r="AD31" s="42"/>
      <c r="AE31" s="43"/>
      <c r="AF31" s="43"/>
    </row>
    <row r="32" spans="1:32" s="2" customFormat="1" ht="44.25" x14ac:dyDescent="0.25">
      <c r="A32" s="40"/>
      <c r="B32" s="40"/>
      <c r="C32" s="40"/>
      <c r="D32" s="40"/>
      <c r="E32" s="40"/>
      <c r="F32" s="40"/>
      <c r="G32" s="40"/>
      <c r="H32" s="40"/>
      <c r="I32" s="41"/>
      <c r="J32" s="40"/>
      <c r="K32" s="40"/>
      <c r="L32" s="40"/>
      <c r="M32" s="40"/>
      <c r="N32" s="40"/>
      <c r="O32" s="40"/>
      <c r="P32" s="40"/>
      <c r="Q32" s="40"/>
      <c r="R32" s="39" t="s">
        <v>88</v>
      </c>
      <c r="S32" s="15" t="s">
        <v>11</v>
      </c>
      <c r="T32" s="8">
        <f>T51+T56</f>
        <v>1.2</v>
      </c>
      <c r="U32" s="8">
        <f>U54</f>
        <v>0.7</v>
      </c>
      <c r="V32" s="8"/>
      <c r="W32" s="8">
        <f>W56</f>
        <v>0.3</v>
      </c>
      <c r="X32" s="8"/>
      <c r="Y32" s="8"/>
      <c r="Z32" s="5">
        <f t="shared" si="4"/>
        <v>2.1999999999999997</v>
      </c>
      <c r="AA32" s="15">
        <v>2018</v>
      </c>
      <c r="AB32" s="42"/>
      <c r="AC32" s="42"/>
      <c r="AD32" s="42"/>
      <c r="AE32" s="43"/>
      <c r="AF32" s="43"/>
    </row>
    <row r="33" spans="1:32" s="2" customFormat="1" ht="47.45" customHeight="1" x14ac:dyDescent="0.25">
      <c r="A33" s="71" t="s">
        <v>23</v>
      </c>
      <c r="B33" s="71" t="s">
        <v>23</v>
      </c>
      <c r="C33" s="71" t="s">
        <v>39</v>
      </c>
      <c r="D33" s="71" t="s">
        <v>23</v>
      </c>
      <c r="E33" s="71" t="s">
        <v>33</v>
      </c>
      <c r="F33" s="71" t="s">
        <v>23</v>
      </c>
      <c r="G33" s="71" t="s">
        <v>32</v>
      </c>
      <c r="H33" s="71" t="s">
        <v>23</v>
      </c>
      <c r="I33" s="71" t="s">
        <v>31</v>
      </c>
      <c r="J33" s="71" t="s">
        <v>24</v>
      </c>
      <c r="K33" s="71" t="s">
        <v>23</v>
      </c>
      <c r="L33" s="71" t="s">
        <v>24</v>
      </c>
      <c r="M33" s="71" t="s">
        <v>23</v>
      </c>
      <c r="N33" s="71" t="s">
        <v>23</v>
      </c>
      <c r="O33" s="71" t="s">
        <v>23</v>
      </c>
      <c r="P33" s="71" t="s">
        <v>23</v>
      </c>
      <c r="Q33" s="71" t="s">
        <v>23</v>
      </c>
      <c r="R33" s="72" t="s">
        <v>47</v>
      </c>
      <c r="S33" s="73" t="s">
        <v>59</v>
      </c>
      <c r="T33" s="75">
        <f>T34+T35</f>
        <v>30000</v>
      </c>
      <c r="U33" s="75">
        <f>U34+U35</f>
        <v>734.9</v>
      </c>
      <c r="V33" s="75">
        <f>V34+V35</f>
        <v>450</v>
      </c>
      <c r="W33" s="75"/>
      <c r="X33" s="75"/>
      <c r="Y33" s="75"/>
      <c r="Z33" s="75">
        <f t="shared" si="4"/>
        <v>31184.9</v>
      </c>
      <c r="AA33" s="73">
        <v>2017</v>
      </c>
      <c r="AB33" s="42"/>
      <c r="AC33" s="42"/>
      <c r="AD33" s="42"/>
      <c r="AE33" s="43"/>
      <c r="AF33" s="43"/>
    </row>
    <row r="34" spans="1:32" s="2" customFormat="1" ht="46.9" customHeight="1" x14ac:dyDescent="0.25">
      <c r="A34" s="71" t="s">
        <v>23</v>
      </c>
      <c r="B34" s="71" t="s">
        <v>23</v>
      </c>
      <c r="C34" s="71" t="s">
        <v>39</v>
      </c>
      <c r="D34" s="71" t="s">
        <v>23</v>
      </c>
      <c r="E34" s="71" t="s">
        <v>33</v>
      </c>
      <c r="F34" s="71" t="s">
        <v>23</v>
      </c>
      <c r="G34" s="71" t="s">
        <v>32</v>
      </c>
      <c r="H34" s="71" t="s">
        <v>23</v>
      </c>
      <c r="I34" s="71" t="s">
        <v>31</v>
      </c>
      <c r="J34" s="71" t="s">
        <v>24</v>
      </c>
      <c r="K34" s="71" t="s">
        <v>23</v>
      </c>
      <c r="L34" s="71" t="s">
        <v>24</v>
      </c>
      <c r="M34" s="71" t="s">
        <v>23</v>
      </c>
      <c r="N34" s="71" t="s">
        <v>23</v>
      </c>
      <c r="O34" s="71" t="s">
        <v>23</v>
      </c>
      <c r="P34" s="71" t="s">
        <v>23</v>
      </c>
      <c r="Q34" s="71" t="s">
        <v>24</v>
      </c>
      <c r="R34" s="72" t="s">
        <v>47</v>
      </c>
      <c r="S34" s="73" t="s">
        <v>59</v>
      </c>
      <c r="T34" s="74">
        <f>130000-100000</f>
        <v>30000</v>
      </c>
      <c r="U34" s="74">
        <f>1000-262.1-3</f>
        <v>734.9</v>
      </c>
      <c r="V34" s="74">
        <v>450</v>
      </c>
      <c r="W34" s="74"/>
      <c r="X34" s="74"/>
      <c r="Y34" s="74"/>
      <c r="Z34" s="75">
        <f t="shared" si="4"/>
        <v>31184.9</v>
      </c>
      <c r="AA34" s="73">
        <v>2017</v>
      </c>
      <c r="AB34" s="101"/>
      <c r="AC34" s="92"/>
      <c r="AD34" s="42"/>
      <c r="AE34" s="43"/>
      <c r="AF34" s="43"/>
    </row>
    <row r="35" spans="1:32" s="2" customFormat="1" ht="48" customHeight="1" x14ac:dyDescent="0.25">
      <c r="A35" s="71" t="s">
        <v>23</v>
      </c>
      <c r="B35" s="71" t="s">
        <v>23</v>
      </c>
      <c r="C35" s="71" t="s">
        <v>39</v>
      </c>
      <c r="D35" s="71" t="s">
        <v>23</v>
      </c>
      <c r="E35" s="71" t="s">
        <v>33</v>
      </c>
      <c r="F35" s="71" t="s">
        <v>23</v>
      </c>
      <c r="G35" s="71" t="s">
        <v>32</v>
      </c>
      <c r="H35" s="71" t="s">
        <v>23</v>
      </c>
      <c r="I35" s="71" t="s">
        <v>31</v>
      </c>
      <c r="J35" s="71" t="s">
        <v>24</v>
      </c>
      <c r="K35" s="71" t="s">
        <v>23</v>
      </c>
      <c r="L35" s="71" t="s">
        <v>24</v>
      </c>
      <c r="M35" s="71" t="s">
        <v>39</v>
      </c>
      <c r="N35" s="71" t="s">
        <v>35</v>
      </c>
      <c r="O35" s="71" t="s">
        <v>24</v>
      </c>
      <c r="P35" s="71" t="s">
        <v>24</v>
      </c>
      <c r="Q35" s="71" t="s">
        <v>23</v>
      </c>
      <c r="R35" s="72" t="s">
        <v>47</v>
      </c>
      <c r="S35" s="73" t="s">
        <v>59</v>
      </c>
      <c r="T35" s="74"/>
      <c r="U35" s="74"/>
      <c r="V35" s="74"/>
      <c r="W35" s="74"/>
      <c r="X35" s="74"/>
      <c r="Y35" s="74"/>
      <c r="Z35" s="75"/>
      <c r="AA35" s="73"/>
      <c r="AB35" s="48"/>
      <c r="AC35" s="48"/>
      <c r="AD35" s="42"/>
      <c r="AE35" s="43"/>
      <c r="AF35" s="43"/>
    </row>
    <row r="36" spans="1:32" s="43" customFormat="1" ht="27.6" customHeight="1" x14ac:dyDescent="0.25">
      <c r="A36" s="40"/>
      <c r="B36" s="40"/>
      <c r="C36" s="40"/>
      <c r="D36" s="40"/>
      <c r="E36" s="40"/>
      <c r="F36" s="40"/>
      <c r="G36" s="40"/>
      <c r="H36" s="40"/>
      <c r="I36" s="41"/>
      <c r="J36" s="40"/>
      <c r="K36" s="40"/>
      <c r="L36" s="40"/>
      <c r="M36" s="40"/>
      <c r="N36" s="40"/>
      <c r="O36" s="40"/>
      <c r="P36" s="40"/>
      <c r="Q36" s="40"/>
      <c r="R36" s="39" t="s">
        <v>89</v>
      </c>
      <c r="S36" s="15" t="s">
        <v>11</v>
      </c>
      <c r="T36" s="36"/>
      <c r="U36" s="36"/>
      <c r="V36" s="36"/>
      <c r="W36" s="37"/>
      <c r="X36" s="37"/>
      <c r="Y36" s="37"/>
      <c r="Z36" s="5"/>
      <c r="AA36" s="15"/>
      <c r="AB36" s="48"/>
      <c r="AC36" s="42"/>
      <c r="AD36" s="42"/>
    </row>
    <row r="37" spans="1:32" s="43" customFormat="1" ht="29.25" x14ac:dyDescent="0.25">
      <c r="A37" s="40"/>
      <c r="B37" s="40"/>
      <c r="C37" s="40"/>
      <c r="D37" s="40"/>
      <c r="E37" s="40"/>
      <c r="F37" s="40"/>
      <c r="G37" s="40"/>
      <c r="H37" s="40"/>
      <c r="I37" s="41"/>
      <c r="J37" s="40"/>
      <c r="K37" s="40"/>
      <c r="L37" s="40"/>
      <c r="M37" s="40"/>
      <c r="N37" s="40"/>
      <c r="O37" s="40"/>
      <c r="P37" s="40"/>
      <c r="Q37" s="40"/>
      <c r="R37" s="39" t="s">
        <v>87</v>
      </c>
      <c r="S37" s="15" t="s">
        <v>60</v>
      </c>
      <c r="T37" s="8"/>
      <c r="U37" s="8"/>
      <c r="V37" s="8"/>
      <c r="W37" s="5"/>
      <c r="X37" s="5"/>
      <c r="Y37" s="5"/>
      <c r="Z37" s="5"/>
      <c r="AA37" s="15"/>
      <c r="AB37" s="48"/>
      <c r="AC37" s="42"/>
      <c r="AD37" s="42"/>
    </row>
    <row r="38" spans="1:32" s="43" customFormat="1" ht="44.25" x14ac:dyDescent="0.25">
      <c r="A38" s="40"/>
      <c r="B38" s="40"/>
      <c r="C38" s="40"/>
      <c r="D38" s="40"/>
      <c r="E38" s="40"/>
      <c r="F38" s="40"/>
      <c r="G38" s="40"/>
      <c r="H38" s="40"/>
      <c r="I38" s="41"/>
      <c r="J38" s="40"/>
      <c r="K38" s="40"/>
      <c r="L38" s="40"/>
      <c r="M38" s="40"/>
      <c r="N38" s="40"/>
      <c r="O38" s="40"/>
      <c r="P38" s="40"/>
      <c r="Q38" s="40"/>
      <c r="R38" s="39" t="s">
        <v>192</v>
      </c>
      <c r="S38" s="15" t="s">
        <v>45</v>
      </c>
      <c r="T38" s="8"/>
      <c r="U38" s="21">
        <v>1</v>
      </c>
      <c r="V38" s="21">
        <v>1</v>
      </c>
      <c r="W38" s="5"/>
      <c r="X38" s="5"/>
      <c r="Y38" s="5"/>
      <c r="Z38" s="6">
        <f>SUM(T38:Y38)</f>
        <v>2</v>
      </c>
      <c r="AA38" s="15">
        <v>2017</v>
      </c>
      <c r="AB38" s="48"/>
      <c r="AC38" s="42"/>
      <c r="AD38" s="42"/>
    </row>
    <row r="39" spans="1:32" s="2" customFormat="1" ht="48" customHeight="1" x14ac:dyDescent="0.25">
      <c r="A39" s="71" t="s">
        <v>23</v>
      </c>
      <c r="B39" s="71" t="s">
        <v>23</v>
      </c>
      <c r="C39" s="71" t="s">
        <v>39</v>
      </c>
      <c r="D39" s="71" t="s">
        <v>23</v>
      </c>
      <c r="E39" s="71" t="s">
        <v>33</v>
      </c>
      <c r="F39" s="71" t="s">
        <v>23</v>
      </c>
      <c r="G39" s="71" t="s">
        <v>32</v>
      </c>
      <c r="H39" s="71" t="s">
        <v>23</v>
      </c>
      <c r="I39" s="71" t="s">
        <v>31</v>
      </c>
      <c r="J39" s="71" t="s">
        <v>24</v>
      </c>
      <c r="K39" s="71" t="s">
        <v>23</v>
      </c>
      <c r="L39" s="71" t="s">
        <v>24</v>
      </c>
      <c r="M39" s="71" t="s">
        <v>23</v>
      </c>
      <c r="N39" s="71" t="s">
        <v>25</v>
      </c>
      <c r="O39" s="71"/>
      <c r="P39" s="71"/>
      <c r="Q39" s="71"/>
      <c r="R39" s="72" t="s">
        <v>90</v>
      </c>
      <c r="S39" s="73" t="s">
        <v>59</v>
      </c>
      <c r="T39" s="74">
        <v>900</v>
      </c>
      <c r="U39" s="75"/>
      <c r="V39" s="75"/>
      <c r="W39" s="75"/>
      <c r="X39" s="75"/>
      <c r="Y39" s="75"/>
      <c r="Z39" s="75">
        <f t="shared" si="4"/>
        <v>900</v>
      </c>
      <c r="AA39" s="73">
        <v>2015</v>
      </c>
      <c r="AB39" s="42"/>
      <c r="AC39" s="42"/>
      <c r="AD39" s="42"/>
      <c r="AE39" s="43"/>
      <c r="AF39" s="43"/>
    </row>
    <row r="40" spans="1:32" s="43" customFormat="1" ht="45.6" customHeight="1" x14ac:dyDescent="0.25">
      <c r="A40" s="41"/>
      <c r="B40" s="41"/>
      <c r="C40" s="41"/>
      <c r="D40" s="41"/>
      <c r="E40" s="40"/>
      <c r="F40" s="40"/>
      <c r="G40" s="40"/>
      <c r="H40" s="40"/>
      <c r="I40" s="41"/>
      <c r="J40" s="40"/>
      <c r="K40" s="40"/>
      <c r="L40" s="40"/>
      <c r="M40" s="40"/>
      <c r="N40" s="40"/>
      <c r="O40" s="40"/>
      <c r="P40" s="40"/>
      <c r="Q40" s="40"/>
      <c r="R40" s="39" t="s">
        <v>67</v>
      </c>
      <c r="S40" s="15" t="s">
        <v>54</v>
      </c>
      <c r="T40" s="21">
        <v>1</v>
      </c>
      <c r="U40" s="21"/>
      <c r="V40" s="21"/>
      <c r="W40" s="21"/>
      <c r="X40" s="21"/>
      <c r="Y40" s="21"/>
      <c r="Z40" s="6">
        <f>T40</f>
        <v>1</v>
      </c>
      <c r="AA40" s="15">
        <v>2015</v>
      </c>
      <c r="AB40" s="42"/>
      <c r="AC40" s="42"/>
      <c r="AD40" s="42"/>
    </row>
    <row r="41" spans="1:32" s="43" customFormat="1" ht="45.6" customHeight="1" x14ac:dyDescent="0.25">
      <c r="A41" s="71" t="s">
        <v>23</v>
      </c>
      <c r="B41" s="71" t="s">
        <v>23</v>
      </c>
      <c r="C41" s="71" t="s">
        <v>39</v>
      </c>
      <c r="D41" s="71" t="s">
        <v>23</v>
      </c>
      <c r="E41" s="71" t="s">
        <v>33</v>
      </c>
      <c r="F41" s="71" t="s">
        <v>23</v>
      </c>
      <c r="G41" s="71" t="s">
        <v>32</v>
      </c>
      <c r="H41" s="71" t="s">
        <v>23</v>
      </c>
      <c r="I41" s="71" t="s">
        <v>31</v>
      </c>
      <c r="J41" s="71" t="s">
        <v>24</v>
      </c>
      <c r="K41" s="71" t="s">
        <v>23</v>
      </c>
      <c r="L41" s="71" t="s">
        <v>24</v>
      </c>
      <c r="M41" s="71" t="s">
        <v>23</v>
      </c>
      <c r="N41" s="71" t="s">
        <v>23</v>
      </c>
      <c r="O41" s="71" t="s">
        <v>23</v>
      </c>
      <c r="P41" s="71" t="s">
        <v>23</v>
      </c>
      <c r="Q41" s="71" t="s">
        <v>34</v>
      </c>
      <c r="R41" s="72" t="s">
        <v>91</v>
      </c>
      <c r="S41" s="73" t="s">
        <v>59</v>
      </c>
      <c r="T41" s="74">
        <f>T42</f>
        <v>20000</v>
      </c>
      <c r="U41" s="74">
        <f>U42</f>
        <v>989</v>
      </c>
      <c r="V41" s="74">
        <f>V42+V43+V44</f>
        <v>108771.2</v>
      </c>
      <c r="W41" s="74">
        <v>16520</v>
      </c>
      <c r="X41" s="74">
        <v>18000</v>
      </c>
      <c r="Y41" s="75"/>
      <c r="Z41" s="75">
        <f t="shared" ref="Z41" si="11">T41+U41+V41+W41+X41+Y41</f>
        <v>164280.20000000001</v>
      </c>
      <c r="AA41" s="73">
        <v>2019</v>
      </c>
      <c r="AB41" s="42"/>
      <c r="AC41" s="42"/>
      <c r="AD41" s="42"/>
    </row>
    <row r="42" spans="1:32" s="2" customFormat="1" ht="45" customHeight="1" x14ac:dyDescent="0.25">
      <c r="A42" s="71" t="s">
        <v>23</v>
      </c>
      <c r="B42" s="71" t="s">
        <v>23</v>
      </c>
      <c r="C42" s="71" t="s">
        <v>39</v>
      </c>
      <c r="D42" s="71" t="s">
        <v>23</v>
      </c>
      <c r="E42" s="71" t="s">
        <v>33</v>
      </c>
      <c r="F42" s="71" t="s">
        <v>23</v>
      </c>
      <c r="G42" s="71" t="s">
        <v>32</v>
      </c>
      <c r="H42" s="71" t="s">
        <v>23</v>
      </c>
      <c r="I42" s="71" t="s">
        <v>31</v>
      </c>
      <c r="J42" s="71" t="s">
        <v>24</v>
      </c>
      <c r="K42" s="71" t="s">
        <v>23</v>
      </c>
      <c r="L42" s="71" t="s">
        <v>24</v>
      </c>
      <c r="M42" s="71" t="s">
        <v>23</v>
      </c>
      <c r="N42" s="71" t="s">
        <v>23</v>
      </c>
      <c r="O42" s="71" t="s">
        <v>23</v>
      </c>
      <c r="P42" s="71" t="s">
        <v>23</v>
      </c>
      <c r="Q42" s="71" t="s">
        <v>34</v>
      </c>
      <c r="R42" s="72" t="s">
        <v>91</v>
      </c>
      <c r="S42" s="73" t="s">
        <v>59</v>
      </c>
      <c r="T42" s="74">
        <v>20000</v>
      </c>
      <c r="U42" s="74">
        <f>1000-11</f>
        <v>989</v>
      </c>
      <c r="V42" s="74"/>
      <c r="W42" s="74">
        <v>16520</v>
      </c>
      <c r="X42" s="74">
        <v>18000</v>
      </c>
      <c r="Y42" s="75"/>
      <c r="Z42" s="75">
        <f t="shared" si="4"/>
        <v>55509</v>
      </c>
      <c r="AA42" s="73">
        <v>2019</v>
      </c>
      <c r="AB42" s="48"/>
      <c r="AC42" s="42"/>
      <c r="AD42" s="42"/>
      <c r="AE42" s="43"/>
      <c r="AF42" s="43"/>
    </row>
    <row r="43" spans="1:32" s="2" customFormat="1" ht="45" customHeight="1" x14ac:dyDescent="0.25">
      <c r="A43" s="71" t="s">
        <v>23</v>
      </c>
      <c r="B43" s="71" t="s">
        <v>23</v>
      </c>
      <c r="C43" s="71" t="s">
        <v>39</v>
      </c>
      <c r="D43" s="71" t="s">
        <v>23</v>
      </c>
      <c r="E43" s="71" t="s">
        <v>33</v>
      </c>
      <c r="F43" s="71" t="s">
        <v>23</v>
      </c>
      <c r="G43" s="71" t="s">
        <v>32</v>
      </c>
      <c r="H43" s="71" t="s">
        <v>23</v>
      </c>
      <c r="I43" s="71" t="s">
        <v>31</v>
      </c>
      <c r="J43" s="71" t="s">
        <v>24</v>
      </c>
      <c r="K43" s="71" t="s">
        <v>23</v>
      </c>
      <c r="L43" s="71" t="s">
        <v>24</v>
      </c>
      <c r="M43" s="71" t="s">
        <v>180</v>
      </c>
      <c r="N43" s="71" t="s">
        <v>23</v>
      </c>
      <c r="O43" s="71" t="s">
        <v>24</v>
      </c>
      <c r="P43" s="71" t="s">
        <v>34</v>
      </c>
      <c r="Q43" s="71" t="s">
        <v>210</v>
      </c>
      <c r="R43" s="72" t="s">
        <v>91</v>
      </c>
      <c r="S43" s="73" t="s">
        <v>59</v>
      </c>
      <c r="T43" s="74"/>
      <c r="U43" s="74"/>
      <c r="V43" s="74">
        <v>30909.3</v>
      </c>
      <c r="W43" s="74"/>
      <c r="X43" s="74"/>
      <c r="Y43" s="75"/>
      <c r="Z43" s="75">
        <f t="shared" ref="Z43" si="12">T43+U43+V43+W43+X43+Y43</f>
        <v>30909.3</v>
      </c>
      <c r="AA43" s="73">
        <v>2017</v>
      </c>
      <c r="AB43" s="48"/>
      <c r="AC43" s="42"/>
      <c r="AD43" s="42"/>
      <c r="AE43" s="43"/>
      <c r="AF43" s="43"/>
    </row>
    <row r="44" spans="1:32" s="2" customFormat="1" ht="45" customHeight="1" x14ac:dyDescent="0.25">
      <c r="A44" s="71" t="s">
        <v>23</v>
      </c>
      <c r="B44" s="71" t="s">
        <v>23</v>
      </c>
      <c r="C44" s="71" t="s">
        <v>39</v>
      </c>
      <c r="D44" s="71" t="s">
        <v>23</v>
      </c>
      <c r="E44" s="71" t="s">
        <v>33</v>
      </c>
      <c r="F44" s="71" t="s">
        <v>23</v>
      </c>
      <c r="G44" s="71" t="s">
        <v>32</v>
      </c>
      <c r="H44" s="71" t="s">
        <v>23</v>
      </c>
      <c r="I44" s="71" t="s">
        <v>31</v>
      </c>
      <c r="J44" s="71" t="s">
        <v>24</v>
      </c>
      <c r="K44" s="71" t="s">
        <v>23</v>
      </c>
      <c r="L44" s="71" t="s">
        <v>24</v>
      </c>
      <c r="M44" s="71" t="s">
        <v>24</v>
      </c>
      <c r="N44" s="71" t="s">
        <v>23</v>
      </c>
      <c r="O44" s="71" t="s">
        <v>24</v>
      </c>
      <c r="P44" s="71" t="s">
        <v>34</v>
      </c>
      <c r="Q44" s="71" t="s">
        <v>215</v>
      </c>
      <c r="R44" s="72" t="s">
        <v>91</v>
      </c>
      <c r="S44" s="73" t="s">
        <v>59</v>
      </c>
      <c r="T44" s="74"/>
      <c r="U44" s="74"/>
      <c r="V44" s="74">
        <v>77861.899999999994</v>
      </c>
      <c r="W44" s="74"/>
      <c r="X44" s="74"/>
      <c r="Y44" s="75"/>
      <c r="Z44" s="75">
        <f t="shared" ref="Z44" si="13">T44+U44+V44+W44+X44+Y44</f>
        <v>77861.899999999994</v>
      </c>
      <c r="AA44" s="73">
        <v>2017</v>
      </c>
      <c r="AB44" s="48"/>
      <c r="AC44" s="42"/>
      <c r="AD44" s="42"/>
      <c r="AE44" s="43"/>
      <c r="AF44" s="43"/>
    </row>
    <row r="45" spans="1:32" s="43" customFormat="1" ht="29.25" x14ac:dyDescent="0.25">
      <c r="A45" s="41"/>
      <c r="B45" s="41"/>
      <c r="C45" s="41"/>
      <c r="D45" s="41"/>
      <c r="E45" s="40"/>
      <c r="F45" s="40"/>
      <c r="G45" s="40"/>
      <c r="H45" s="40"/>
      <c r="I45" s="41"/>
      <c r="J45" s="40"/>
      <c r="K45" s="40"/>
      <c r="L45" s="40"/>
      <c r="M45" s="40"/>
      <c r="N45" s="40"/>
      <c r="O45" s="40"/>
      <c r="P45" s="40"/>
      <c r="Q45" s="40"/>
      <c r="R45" s="39" t="s">
        <v>64</v>
      </c>
      <c r="S45" s="15" t="s">
        <v>54</v>
      </c>
      <c r="T45" s="21">
        <v>1</v>
      </c>
      <c r="U45" s="21"/>
      <c r="V45" s="21"/>
      <c r="W45" s="21"/>
      <c r="X45" s="21"/>
      <c r="Y45" s="21"/>
      <c r="Z45" s="6">
        <v>1</v>
      </c>
      <c r="AA45" s="15">
        <v>2015</v>
      </c>
      <c r="AB45" s="42"/>
      <c r="AC45" s="42"/>
      <c r="AD45" s="42"/>
    </row>
    <row r="46" spans="1:32" s="43" customFormat="1" ht="29.25" x14ac:dyDescent="0.25">
      <c r="A46" s="40"/>
      <c r="B46" s="40"/>
      <c r="C46" s="40"/>
      <c r="D46" s="40"/>
      <c r="E46" s="40"/>
      <c r="F46" s="40"/>
      <c r="G46" s="40"/>
      <c r="H46" s="40"/>
      <c r="I46" s="41"/>
      <c r="J46" s="40"/>
      <c r="K46" s="40"/>
      <c r="L46" s="40"/>
      <c r="M46" s="40"/>
      <c r="N46" s="40"/>
      <c r="O46" s="40"/>
      <c r="P46" s="40"/>
      <c r="Q46" s="40"/>
      <c r="R46" s="39" t="s">
        <v>196</v>
      </c>
      <c r="S46" s="15" t="s">
        <v>11</v>
      </c>
      <c r="T46" s="8"/>
      <c r="U46" s="8"/>
      <c r="V46" s="8">
        <v>0.5</v>
      </c>
      <c r="W46" s="8">
        <v>0.53</v>
      </c>
      <c r="X46" s="8">
        <v>0.3</v>
      </c>
      <c r="Y46" s="8"/>
      <c r="Z46" s="5">
        <f>V46+W46+X46</f>
        <v>1.33</v>
      </c>
      <c r="AA46" s="15">
        <v>2019</v>
      </c>
      <c r="AB46" s="42"/>
      <c r="AC46" s="42"/>
      <c r="AD46" s="42"/>
    </row>
    <row r="47" spans="1:32" s="43" customFormat="1" ht="29.25" x14ac:dyDescent="0.25">
      <c r="A47" s="40"/>
      <c r="B47" s="40"/>
      <c r="C47" s="40"/>
      <c r="D47" s="40"/>
      <c r="E47" s="40"/>
      <c r="F47" s="40"/>
      <c r="G47" s="40"/>
      <c r="H47" s="40"/>
      <c r="I47" s="41"/>
      <c r="J47" s="40"/>
      <c r="K47" s="40"/>
      <c r="L47" s="40"/>
      <c r="M47" s="40"/>
      <c r="N47" s="40"/>
      <c r="O47" s="40"/>
      <c r="P47" s="40"/>
      <c r="Q47" s="40"/>
      <c r="R47" s="39" t="s">
        <v>99</v>
      </c>
      <c r="S47" s="15" t="s">
        <v>60</v>
      </c>
      <c r="T47" s="8"/>
      <c r="U47" s="8"/>
      <c r="V47" s="8"/>
      <c r="W47" s="8"/>
      <c r="X47" s="8"/>
      <c r="Y47" s="8"/>
      <c r="Z47" s="5"/>
      <c r="AA47" s="15"/>
      <c r="AB47" s="42"/>
      <c r="AC47" s="42"/>
      <c r="AD47" s="42"/>
    </row>
    <row r="48" spans="1:32" s="43" customFormat="1" ht="31.15" customHeight="1" x14ac:dyDescent="0.25">
      <c r="A48" s="40"/>
      <c r="B48" s="40"/>
      <c r="C48" s="40"/>
      <c r="D48" s="40"/>
      <c r="E48" s="40"/>
      <c r="F48" s="40"/>
      <c r="G48" s="40"/>
      <c r="H48" s="40"/>
      <c r="I48" s="41"/>
      <c r="J48" s="40"/>
      <c r="K48" s="40"/>
      <c r="L48" s="40"/>
      <c r="M48" s="40"/>
      <c r="N48" s="40"/>
      <c r="O48" s="40"/>
      <c r="P48" s="40"/>
      <c r="Q48" s="40"/>
      <c r="R48" s="39" t="s">
        <v>197</v>
      </c>
      <c r="S48" s="15" t="s">
        <v>45</v>
      </c>
      <c r="T48" s="8"/>
      <c r="U48" s="21">
        <v>1</v>
      </c>
      <c r="V48" s="8"/>
      <c r="W48" s="8"/>
      <c r="X48" s="8"/>
      <c r="Y48" s="8"/>
      <c r="Z48" s="6">
        <f>T48+U48+V48+W48+X48+Y48</f>
        <v>1</v>
      </c>
      <c r="AA48" s="15">
        <v>2016</v>
      </c>
      <c r="AB48" s="48"/>
      <c r="AC48" s="42"/>
      <c r="AD48" s="42"/>
    </row>
    <row r="49" spans="1:32" s="2" customFormat="1" ht="45.6" customHeight="1" x14ac:dyDescent="0.25">
      <c r="A49" s="71" t="s">
        <v>23</v>
      </c>
      <c r="B49" s="71" t="s">
        <v>23</v>
      </c>
      <c r="C49" s="71" t="s">
        <v>39</v>
      </c>
      <c r="D49" s="71" t="s">
        <v>23</v>
      </c>
      <c r="E49" s="71" t="s">
        <v>33</v>
      </c>
      <c r="F49" s="71" t="s">
        <v>23</v>
      </c>
      <c r="G49" s="71" t="s">
        <v>32</v>
      </c>
      <c r="H49" s="71" t="s">
        <v>23</v>
      </c>
      <c r="I49" s="71" t="s">
        <v>31</v>
      </c>
      <c r="J49" s="71" t="s">
        <v>24</v>
      </c>
      <c r="K49" s="71" t="s">
        <v>23</v>
      </c>
      <c r="L49" s="71" t="s">
        <v>24</v>
      </c>
      <c r="M49" s="71" t="s">
        <v>23</v>
      </c>
      <c r="N49" s="71" t="s">
        <v>33</v>
      </c>
      <c r="O49" s="71"/>
      <c r="P49" s="71"/>
      <c r="Q49" s="71"/>
      <c r="R49" s="72" t="s">
        <v>57</v>
      </c>
      <c r="S49" s="73" t="s">
        <v>59</v>
      </c>
      <c r="T49" s="74">
        <f>10450-1008</f>
        <v>9442</v>
      </c>
      <c r="U49" s="74"/>
      <c r="V49" s="74"/>
      <c r="W49" s="74"/>
      <c r="X49" s="74"/>
      <c r="Y49" s="74"/>
      <c r="Z49" s="75">
        <f t="shared" si="4"/>
        <v>9442</v>
      </c>
      <c r="AA49" s="73">
        <v>2015</v>
      </c>
      <c r="AB49" s="42"/>
      <c r="AC49" s="42"/>
      <c r="AD49" s="42"/>
      <c r="AE49" s="43"/>
      <c r="AF49" s="43"/>
    </row>
    <row r="50" spans="1:32" s="43" customFormat="1" ht="31.9" customHeight="1" x14ac:dyDescent="0.25">
      <c r="A50" s="41"/>
      <c r="B50" s="41"/>
      <c r="C50" s="41"/>
      <c r="D50" s="41"/>
      <c r="E50" s="40"/>
      <c r="F50" s="40"/>
      <c r="G50" s="40"/>
      <c r="H50" s="40"/>
      <c r="I50" s="41"/>
      <c r="J50" s="40"/>
      <c r="K50" s="40"/>
      <c r="L50" s="40"/>
      <c r="M50" s="40"/>
      <c r="N50" s="40"/>
      <c r="O50" s="40"/>
      <c r="P50" s="40"/>
      <c r="Q50" s="40"/>
      <c r="R50" s="39" t="s">
        <v>64</v>
      </c>
      <c r="S50" s="15" t="s">
        <v>54</v>
      </c>
      <c r="T50" s="21">
        <v>1</v>
      </c>
      <c r="U50" s="21"/>
      <c r="V50" s="21"/>
      <c r="W50" s="21"/>
      <c r="X50" s="21"/>
      <c r="Y50" s="21"/>
      <c r="Z50" s="6">
        <f>T50</f>
        <v>1</v>
      </c>
      <c r="AA50" s="15">
        <v>2015</v>
      </c>
      <c r="AB50" s="42"/>
      <c r="AC50" s="42"/>
      <c r="AD50" s="42"/>
    </row>
    <row r="51" spans="1:32" s="43" customFormat="1" ht="45" x14ac:dyDescent="0.25">
      <c r="A51" s="40"/>
      <c r="B51" s="40"/>
      <c r="C51" s="40"/>
      <c r="D51" s="40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  <c r="P51" s="40"/>
      <c r="Q51" s="40"/>
      <c r="R51" s="17" t="s">
        <v>66</v>
      </c>
      <c r="S51" s="15" t="s">
        <v>11</v>
      </c>
      <c r="T51" s="8">
        <v>0.9</v>
      </c>
      <c r="U51" s="8"/>
      <c r="V51" s="8"/>
      <c r="W51" s="8"/>
      <c r="X51" s="8"/>
      <c r="Y51" s="8"/>
      <c r="Z51" s="5">
        <f t="shared" si="4"/>
        <v>0.9</v>
      </c>
      <c r="AA51" s="15">
        <v>2015</v>
      </c>
      <c r="AB51" s="42"/>
      <c r="AC51" s="42"/>
      <c r="AD51" s="42"/>
    </row>
    <row r="52" spans="1:32" s="2" customFormat="1" ht="46.15" customHeight="1" x14ac:dyDescent="0.25">
      <c r="A52" s="71" t="s">
        <v>23</v>
      </c>
      <c r="B52" s="71" t="s">
        <v>23</v>
      </c>
      <c r="C52" s="71" t="s">
        <v>39</v>
      </c>
      <c r="D52" s="71" t="s">
        <v>23</v>
      </c>
      <c r="E52" s="71" t="s">
        <v>33</v>
      </c>
      <c r="F52" s="71" t="s">
        <v>23</v>
      </c>
      <c r="G52" s="71" t="s">
        <v>32</v>
      </c>
      <c r="H52" s="71" t="s">
        <v>23</v>
      </c>
      <c r="I52" s="71" t="s">
        <v>31</v>
      </c>
      <c r="J52" s="71" t="s">
        <v>24</v>
      </c>
      <c r="K52" s="71" t="s">
        <v>23</v>
      </c>
      <c r="L52" s="71" t="s">
        <v>24</v>
      </c>
      <c r="M52" s="71" t="s">
        <v>23</v>
      </c>
      <c r="N52" s="71" t="s">
        <v>23</v>
      </c>
      <c r="O52" s="71" t="s">
        <v>23</v>
      </c>
      <c r="P52" s="71" t="s">
        <v>23</v>
      </c>
      <c r="Q52" s="71" t="s">
        <v>30</v>
      </c>
      <c r="R52" s="72" t="s">
        <v>92</v>
      </c>
      <c r="S52" s="73" t="s">
        <v>59</v>
      </c>
      <c r="T52" s="74">
        <f>8000-833</f>
        <v>7167</v>
      </c>
      <c r="U52" s="74">
        <f>21200-3425-9425-393-583</f>
        <v>7374</v>
      </c>
      <c r="V52" s="75"/>
      <c r="W52" s="75"/>
      <c r="X52" s="75"/>
      <c r="Y52" s="75"/>
      <c r="Z52" s="75">
        <f t="shared" si="4"/>
        <v>14541</v>
      </c>
      <c r="AA52" s="73">
        <v>2016</v>
      </c>
      <c r="AB52" s="48"/>
      <c r="AC52" s="42"/>
      <c r="AD52" s="42"/>
      <c r="AE52" s="43"/>
      <c r="AF52" s="43"/>
    </row>
    <row r="53" spans="1:32" s="43" customFormat="1" ht="29.25" x14ac:dyDescent="0.25">
      <c r="A53" s="41"/>
      <c r="B53" s="41"/>
      <c r="C53" s="41"/>
      <c r="D53" s="41"/>
      <c r="E53" s="40"/>
      <c r="F53" s="40"/>
      <c r="G53" s="40"/>
      <c r="H53" s="40"/>
      <c r="I53" s="41"/>
      <c r="J53" s="40"/>
      <c r="K53" s="40"/>
      <c r="L53" s="40"/>
      <c r="M53" s="40"/>
      <c r="N53" s="40"/>
      <c r="O53" s="40"/>
      <c r="P53" s="40"/>
      <c r="Q53" s="40"/>
      <c r="R53" s="39" t="s">
        <v>64</v>
      </c>
      <c r="S53" s="15" t="s">
        <v>54</v>
      </c>
      <c r="T53" s="21">
        <v>1</v>
      </c>
      <c r="U53" s="21"/>
      <c r="V53" s="21"/>
      <c r="W53" s="21"/>
      <c r="X53" s="21"/>
      <c r="Y53" s="21"/>
      <c r="Z53" s="6">
        <f>T53</f>
        <v>1</v>
      </c>
      <c r="AA53" s="15">
        <v>2015</v>
      </c>
      <c r="AB53" s="48"/>
      <c r="AC53" s="42"/>
      <c r="AD53" s="42"/>
    </row>
    <row r="54" spans="1:32" s="2" customFormat="1" ht="45" x14ac:dyDescent="0.25">
      <c r="A54" s="40"/>
      <c r="B54" s="40"/>
      <c r="C54" s="40"/>
      <c r="D54" s="40"/>
      <c r="E54" s="40"/>
      <c r="F54" s="40"/>
      <c r="G54" s="40"/>
      <c r="H54" s="40"/>
      <c r="I54" s="41"/>
      <c r="J54" s="40"/>
      <c r="K54" s="40"/>
      <c r="L54" s="40"/>
      <c r="M54" s="40"/>
      <c r="N54" s="40"/>
      <c r="O54" s="40"/>
      <c r="P54" s="40"/>
      <c r="Q54" s="40"/>
      <c r="R54" s="66" t="s">
        <v>66</v>
      </c>
      <c r="S54" s="105" t="s">
        <v>11</v>
      </c>
      <c r="T54" s="14"/>
      <c r="U54" s="8">
        <v>0.7</v>
      </c>
      <c r="V54" s="8"/>
      <c r="W54" s="8"/>
      <c r="X54" s="8"/>
      <c r="Y54" s="8"/>
      <c r="Z54" s="5">
        <f t="shared" si="4"/>
        <v>0.7</v>
      </c>
      <c r="AA54" s="15">
        <v>2016</v>
      </c>
      <c r="AB54" s="48"/>
      <c r="AC54" s="42"/>
      <c r="AD54" s="42"/>
      <c r="AE54" s="43"/>
      <c r="AF54" s="43"/>
    </row>
    <row r="55" spans="1:32" s="2" customFormat="1" ht="45" x14ac:dyDescent="0.25">
      <c r="A55" s="71" t="s">
        <v>23</v>
      </c>
      <c r="B55" s="71" t="s">
        <v>23</v>
      </c>
      <c r="C55" s="71" t="s">
        <v>39</v>
      </c>
      <c r="D55" s="71" t="s">
        <v>23</v>
      </c>
      <c r="E55" s="71" t="s">
        <v>33</v>
      </c>
      <c r="F55" s="71" t="s">
        <v>23</v>
      </c>
      <c r="G55" s="71" t="s">
        <v>32</v>
      </c>
      <c r="H55" s="71" t="s">
        <v>23</v>
      </c>
      <c r="I55" s="71" t="s">
        <v>31</v>
      </c>
      <c r="J55" s="71" t="s">
        <v>24</v>
      </c>
      <c r="K55" s="71" t="s">
        <v>23</v>
      </c>
      <c r="L55" s="71" t="s">
        <v>24</v>
      </c>
      <c r="M55" s="71" t="s">
        <v>23</v>
      </c>
      <c r="N55" s="71" t="s">
        <v>23</v>
      </c>
      <c r="O55" s="71" t="s">
        <v>23</v>
      </c>
      <c r="P55" s="71" t="s">
        <v>23</v>
      </c>
      <c r="Q55" s="71" t="s">
        <v>35</v>
      </c>
      <c r="R55" s="72" t="s">
        <v>93</v>
      </c>
      <c r="S55" s="73" t="s">
        <v>59</v>
      </c>
      <c r="T55" s="74">
        <v>15000</v>
      </c>
      <c r="U55" s="74"/>
      <c r="V55" s="74"/>
      <c r="W55" s="74">
        <v>20830</v>
      </c>
      <c r="X55" s="75"/>
      <c r="Y55" s="75"/>
      <c r="Z55" s="75">
        <f t="shared" si="4"/>
        <v>35830</v>
      </c>
      <c r="AA55" s="73">
        <v>2018</v>
      </c>
      <c r="AB55" s="42"/>
      <c r="AC55" s="42"/>
      <c r="AD55" s="42"/>
      <c r="AE55" s="43"/>
      <c r="AF55" s="43"/>
    </row>
    <row r="56" spans="1:32" s="2" customFormat="1" ht="45" x14ac:dyDescent="0.25">
      <c r="A56" s="40"/>
      <c r="B56" s="40"/>
      <c r="C56" s="40"/>
      <c r="D56" s="40"/>
      <c r="E56" s="40"/>
      <c r="F56" s="40"/>
      <c r="G56" s="40"/>
      <c r="H56" s="40"/>
      <c r="I56" s="41"/>
      <c r="J56" s="40"/>
      <c r="K56" s="40"/>
      <c r="L56" s="40"/>
      <c r="M56" s="40"/>
      <c r="N56" s="40"/>
      <c r="O56" s="40"/>
      <c r="P56" s="40"/>
      <c r="Q56" s="40"/>
      <c r="R56" s="66" t="s">
        <v>94</v>
      </c>
      <c r="S56" s="105" t="s">
        <v>11</v>
      </c>
      <c r="T56" s="14">
        <v>0.3</v>
      </c>
      <c r="U56" s="8"/>
      <c r="V56" s="8"/>
      <c r="W56" s="8">
        <v>0.3</v>
      </c>
      <c r="X56" s="8"/>
      <c r="Y56" s="8"/>
      <c r="Z56" s="5">
        <f t="shared" si="4"/>
        <v>0.6</v>
      </c>
      <c r="AA56" s="15">
        <v>2018</v>
      </c>
      <c r="AB56" s="42"/>
      <c r="AC56" s="42"/>
      <c r="AD56" s="42"/>
      <c r="AE56" s="43"/>
      <c r="AF56" s="43"/>
    </row>
    <row r="57" spans="1:32" s="2" customFormat="1" ht="45" x14ac:dyDescent="0.25">
      <c r="A57" s="71" t="s">
        <v>23</v>
      </c>
      <c r="B57" s="71" t="s">
        <v>23</v>
      </c>
      <c r="C57" s="71" t="s">
        <v>39</v>
      </c>
      <c r="D57" s="71" t="s">
        <v>23</v>
      </c>
      <c r="E57" s="71" t="s">
        <v>33</v>
      </c>
      <c r="F57" s="71" t="s">
        <v>23</v>
      </c>
      <c r="G57" s="71" t="s">
        <v>32</v>
      </c>
      <c r="H57" s="71" t="s">
        <v>23</v>
      </c>
      <c r="I57" s="71" t="s">
        <v>31</v>
      </c>
      <c r="J57" s="71" t="s">
        <v>24</v>
      </c>
      <c r="K57" s="71" t="s">
        <v>23</v>
      </c>
      <c r="L57" s="71" t="s">
        <v>24</v>
      </c>
      <c r="M57" s="71" t="s">
        <v>23</v>
      </c>
      <c r="N57" s="71" t="s">
        <v>39</v>
      </c>
      <c r="O57" s="71"/>
      <c r="P57" s="71"/>
      <c r="Q57" s="71"/>
      <c r="R57" s="72" t="s">
        <v>95</v>
      </c>
      <c r="S57" s="73" t="s">
        <v>59</v>
      </c>
      <c r="T57" s="75"/>
      <c r="U57" s="75"/>
      <c r="V57" s="75"/>
      <c r="W57" s="75"/>
      <c r="X57" s="75"/>
      <c r="Y57" s="75"/>
      <c r="Z57" s="75"/>
      <c r="AA57" s="73"/>
      <c r="AB57" s="42"/>
      <c r="AC57" s="42"/>
      <c r="AD57" s="42"/>
      <c r="AE57" s="43"/>
      <c r="AF57" s="43"/>
    </row>
    <row r="58" spans="1:32" s="2" customFormat="1" ht="45" x14ac:dyDescent="0.25">
      <c r="A58" s="40"/>
      <c r="B58" s="40"/>
      <c r="C58" s="40"/>
      <c r="D58" s="40"/>
      <c r="E58" s="40"/>
      <c r="F58" s="40"/>
      <c r="G58" s="40"/>
      <c r="H58" s="40"/>
      <c r="I58" s="41"/>
      <c r="J58" s="40"/>
      <c r="K58" s="40"/>
      <c r="L58" s="40"/>
      <c r="M58" s="40"/>
      <c r="N58" s="40"/>
      <c r="O58" s="40"/>
      <c r="P58" s="40"/>
      <c r="Q58" s="40"/>
      <c r="R58" s="66" t="s">
        <v>96</v>
      </c>
      <c r="S58" s="105" t="s">
        <v>55</v>
      </c>
      <c r="T58" s="21"/>
      <c r="U58" s="21"/>
      <c r="V58" s="21"/>
      <c r="W58" s="21"/>
      <c r="X58" s="21"/>
      <c r="Y58" s="21"/>
      <c r="Z58" s="6"/>
      <c r="AA58" s="15"/>
      <c r="AB58" s="42"/>
      <c r="AC58" s="42"/>
      <c r="AD58" s="42"/>
      <c r="AE58" s="43"/>
      <c r="AF58" s="43"/>
    </row>
    <row r="59" spans="1:32" s="2" customFormat="1" ht="29.25" x14ac:dyDescent="0.25">
      <c r="A59" s="71" t="s">
        <v>23</v>
      </c>
      <c r="B59" s="71" t="s">
        <v>23</v>
      </c>
      <c r="C59" s="71" t="s">
        <v>39</v>
      </c>
      <c r="D59" s="71" t="s">
        <v>23</v>
      </c>
      <c r="E59" s="71" t="s">
        <v>33</v>
      </c>
      <c r="F59" s="71" t="s">
        <v>23</v>
      </c>
      <c r="G59" s="71" t="s">
        <v>32</v>
      </c>
      <c r="H59" s="71" t="s">
        <v>23</v>
      </c>
      <c r="I59" s="71" t="s">
        <v>31</v>
      </c>
      <c r="J59" s="71" t="s">
        <v>24</v>
      </c>
      <c r="K59" s="71" t="s">
        <v>23</v>
      </c>
      <c r="L59" s="71" t="s">
        <v>24</v>
      </c>
      <c r="M59" s="71" t="s">
        <v>23</v>
      </c>
      <c r="N59" s="71" t="s">
        <v>23</v>
      </c>
      <c r="O59" s="71" t="s">
        <v>23</v>
      </c>
      <c r="P59" s="71" t="s">
        <v>23</v>
      </c>
      <c r="Q59" s="71" t="s">
        <v>31</v>
      </c>
      <c r="R59" s="72" t="s">
        <v>97</v>
      </c>
      <c r="S59" s="73" t="s">
        <v>59</v>
      </c>
      <c r="T59" s="75"/>
      <c r="U59" s="74">
        <f>4000-1500-100</f>
        <v>2400</v>
      </c>
      <c r="V59" s="74"/>
      <c r="W59" s="74"/>
      <c r="X59" s="74">
        <v>54150</v>
      </c>
      <c r="Y59" s="75"/>
      <c r="Z59" s="75">
        <f t="shared" si="4"/>
        <v>56550</v>
      </c>
      <c r="AA59" s="73">
        <v>2019</v>
      </c>
      <c r="AB59" s="48"/>
      <c r="AC59" s="42"/>
      <c r="AD59" s="42"/>
      <c r="AE59" s="43"/>
      <c r="AF59" s="43"/>
    </row>
    <row r="60" spans="1:32" s="43" customFormat="1" ht="44.25" x14ac:dyDescent="0.25">
      <c r="A60" s="41"/>
      <c r="B60" s="41"/>
      <c r="C60" s="41"/>
      <c r="D60" s="41"/>
      <c r="E60" s="40"/>
      <c r="F60" s="40"/>
      <c r="G60" s="40"/>
      <c r="H60" s="40"/>
      <c r="I60" s="41"/>
      <c r="J60" s="40"/>
      <c r="K60" s="40"/>
      <c r="L60" s="40"/>
      <c r="M60" s="40"/>
      <c r="N60" s="40"/>
      <c r="O60" s="40"/>
      <c r="P60" s="40"/>
      <c r="Q60" s="40"/>
      <c r="R60" s="39" t="s">
        <v>67</v>
      </c>
      <c r="S60" s="15" t="s">
        <v>54</v>
      </c>
      <c r="T60" s="8"/>
      <c r="U60" s="21">
        <v>1</v>
      </c>
      <c r="V60" s="21"/>
      <c r="W60" s="21"/>
      <c r="X60" s="21"/>
      <c r="Y60" s="21"/>
      <c r="Z60" s="6">
        <f>U60</f>
        <v>1</v>
      </c>
      <c r="AA60" s="15">
        <v>2016</v>
      </c>
      <c r="AB60" s="48"/>
      <c r="AC60" s="42"/>
      <c r="AD60" s="42"/>
    </row>
    <row r="61" spans="1:32" s="2" customFormat="1" ht="29.25" x14ac:dyDescent="0.25">
      <c r="A61" s="40"/>
      <c r="B61" s="40"/>
      <c r="C61" s="40"/>
      <c r="D61" s="40"/>
      <c r="E61" s="40"/>
      <c r="F61" s="40"/>
      <c r="G61" s="40"/>
      <c r="H61" s="40"/>
      <c r="I61" s="41"/>
      <c r="J61" s="40"/>
      <c r="K61" s="40"/>
      <c r="L61" s="40"/>
      <c r="M61" s="40"/>
      <c r="N61" s="40"/>
      <c r="O61" s="40"/>
      <c r="P61" s="40"/>
      <c r="Q61" s="40"/>
      <c r="R61" s="39" t="s">
        <v>98</v>
      </c>
      <c r="S61" s="105" t="s">
        <v>11</v>
      </c>
      <c r="T61" s="14"/>
      <c r="U61" s="8"/>
      <c r="V61" s="8"/>
      <c r="W61" s="8"/>
      <c r="X61" s="8">
        <v>1</v>
      </c>
      <c r="Y61" s="29"/>
      <c r="Z61" s="5">
        <f t="shared" si="4"/>
        <v>1</v>
      </c>
      <c r="AA61" s="15">
        <v>2019</v>
      </c>
      <c r="AB61" s="48"/>
      <c r="AC61" s="42"/>
      <c r="AD61" s="42"/>
      <c r="AE61" s="43"/>
      <c r="AF61" s="43"/>
    </row>
    <row r="62" spans="1:32" s="2" customFormat="1" ht="29.25" x14ac:dyDescent="0.25">
      <c r="A62" s="40"/>
      <c r="B62" s="40"/>
      <c r="C62" s="40"/>
      <c r="D62" s="40"/>
      <c r="E62" s="40"/>
      <c r="F62" s="40"/>
      <c r="G62" s="40"/>
      <c r="H62" s="40"/>
      <c r="I62" s="41"/>
      <c r="J62" s="40"/>
      <c r="K62" s="40"/>
      <c r="L62" s="40"/>
      <c r="M62" s="40"/>
      <c r="N62" s="40"/>
      <c r="O62" s="40"/>
      <c r="P62" s="40"/>
      <c r="Q62" s="40"/>
      <c r="R62" s="39" t="s">
        <v>99</v>
      </c>
      <c r="S62" s="15" t="s">
        <v>60</v>
      </c>
      <c r="T62" s="8"/>
      <c r="U62" s="8"/>
      <c r="V62" s="8"/>
      <c r="W62" s="8"/>
      <c r="X62" s="8"/>
      <c r="Y62" s="8"/>
      <c r="Z62" s="5"/>
      <c r="AA62" s="15"/>
      <c r="AB62" s="48"/>
      <c r="AC62" s="42"/>
      <c r="AD62" s="42"/>
      <c r="AE62" s="43"/>
      <c r="AF62" s="43"/>
    </row>
    <row r="63" spans="1:32" s="2" customFormat="1" ht="45" x14ac:dyDescent="0.25">
      <c r="A63" s="71" t="s">
        <v>23</v>
      </c>
      <c r="B63" s="71" t="s">
        <v>23</v>
      </c>
      <c r="C63" s="71" t="s">
        <v>39</v>
      </c>
      <c r="D63" s="71" t="s">
        <v>23</v>
      </c>
      <c r="E63" s="71" t="s">
        <v>33</v>
      </c>
      <c r="F63" s="71" t="s">
        <v>23</v>
      </c>
      <c r="G63" s="71" t="s">
        <v>32</v>
      </c>
      <c r="H63" s="71" t="s">
        <v>23</v>
      </c>
      <c r="I63" s="71" t="s">
        <v>31</v>
      </c>
      <c r="J63" s="71" t="s">
        <v>24</v>
      </c>
      <c r="K63" s="71" t="s">
        <v>23</v>
      </c>
      <c r="L63" s="71" t="s">
        <v>24</v>
      </c>
      <c r="M63" s="71" t="s">
        <v>23</v>
      </c>
      <c r="N63" s="71" t="s">
        <v>23</v>
      </c>
      <c r="O63" s="71" t="s">
        <v>23</v>
      </c>
      <c r="P63" s="71" t="s">
        <v>23</v>
      </c>
      <c r="Q63" s="71" t="s">
        <v>32</v>
      </c>
      <c r="R63" s="72" t="s">
        <v>100</v>
      </c>
      <c r="S63" s="73" t="s">
        <v>59</v>
      </c>
      <c r="T63" s="75"/>
      <c r="U63" s="74">
        <f>1500+400-7-24.1</f>
        <v>1868.9</v>
      </c>
      <c r="V63" s="75"/>
      <c r="W63" s="75"/>
      <c r="X63" s="75"/>
      <c r="Y63" s="75"/>
      <c r="Z63" s="75">
        <f t="shared" si="4"/>
        <v>1868.9</v>
      </c>
      <c r="AA63" s="73">
        <v>2016</v>
      </c>
      <c r="AB63" s="48"/>
      <c r="AC63" s="42"/>
      <c r="AD63" s="42"/>
      <c r="AE63" s="43"/>
      <c r="AF63" s="43"/>
    </row>
    <row r="64" spans="1:32" s="2" customFormat="1" ht="29.25" x14ac:dyDescent="0.25">
      <c r="A64" s="40"/>
      <c r="B64" s="40"/>
      <c r="C64" s="40"/>
      <c r="D64" s="40"/>
      <c r="E64" s="40"/>
      <c r="F64" s="40"/>
      <c r="G64" s="40"/>
      <c r="H64" s="40"/>
      <c r="I64" s="41"/>
      <c r="J64" s="40"/>
      <c r="K64" s="40"/>
      <c r="L64" s="40"/>
      <c r="M64" s="40"/>
      <c r="N64" s="40"/>
      <c r="O64" s="40"/>
      <c r="P64" s="40"/>
      <c r="Q64" s="40"/>
      <c r="R64" s="39" t="s">
        <v>89</v>
      </c>
      <c r="S64" s="105" t="s">
        <v>11</v>
      </c>
      <c r="T64" s="14"/>
      <c r="U64" s="8">
        <v>0.6</v>
      </c>
      <c r="V64" s="8"/>
      <c r="W64" s="8"/>
      <c r="X64" s="8"/>
      <c r="Y64" s="8"/>
      <c r="Z64" s="5">
        <f t="shared" si="4"/>
        <v>0.6</v>
      </c>
      <c r="AA64" s="15">
        <v>2016</v>
      </c>
      <c r="AB64" s="48"/>
      <c r="AC64" s="42"/>
      <c r="AD64" s="42"/>
      <c r="AE64" s="43"/>
      <c r="AF64" s="43"/>
    </row>
    <row r="65" spans="1:32" s="2" customFormat="1" ht="29.25" x14ac:dyDescent="0.25">
      <c r="A65" s="40"/>
      <c r="B65" s="40"/>
      <c r="C65" s="40"/>
      <c r="D65" s="40"/>
      <c r="E65" s="40"/>
      <c r="F65" s="40"/>
      <c r="G65" s="40"/>
      <c r="H65" s="40"/>
      <c r="I65" s="41"/>
      <c r="J65" s="40"/>
      <c r="K65" s="40"/>
      <c r="L65" s="40"/>
      <c r="M65" s="40"/>
      <c r="N65" s="40"/>
      <c r="O65" s="40"/>
      <c r="P65" s="40"/>
      <c r="Q65" s="40"/>
      <c r="R65" s="39" t="s">
        <v>87</v>
      </c>
      <c r="S65" s="15" t="s">
        <v>60</v>
      </c>
      <c r="T65" s="8"/>
      <c r="U65" s="8">
        <v>18.7</v>
      </c>
      <c r="V65" s="8"/>
      <c r="W65" s="8"/>
      <c r="X65" s="8"/>
      <c r="Y65" s="8"/>
      <c r="Z65" s="5">
        <f t="shared" si="4"/>
        <v>18.7</v>
      </c>
      <c r="AA65" s="15">
        <v>2016</v>
      </c>
      <c r="AB65" s="48"/>
      <c r="AC65" s="42"/>
      <c r="AD65" s="42"/>
      <c r="AE65" s="43"/>
      <c r="AF65" s="43"/>
    </row>
    <row r="66" spans="1:32" s="2" customFormat="1" ht="59.25" x14ac:dyDescent="0.25">
      <c r="A66" s="71" t="s">
        <v>23</v>
      </c>
      <c r="B66" s="71" t="s">
        <v>23</v>
      </c>
      <c r="C66" s="71" t="s">
        <v>39</v>
      </c>
      <c r="D66" s="71" t="s">
        <v>23</v>
      </c>
      <c r="E66" s="71" t="s">
        <v>33</v>
      </c>
      <c r="F66" s="71" t="s">
        <v>23</v>
      </c>
      <c r="G66" s="71" t="s">
        <v>32</v>
      </c>
      <c r="H66" s="71" t="s">
        <v>23</v>
      </c>
      <c r="I66" s="71" t="s">
        <v>31</v>
      </c>
      <c r="J66" s="71" t="s">
        <v>24</v>
      </c>
      <c r="K66" s="71" t="s">
        <v>23</v>
      </c>
      <c r="L66" s="71" t="s">
        <v>24</v>
      </c>
      <c r="M66" s="71" t="s">
        <v>24</v>
      </c>
      <c r="N66" s="71" t="s">
        <v>23</v>
      </c>
      <c r="O66" s="71"/>
      <c r="P66" s="71"/>
      <c r="Q66" s="71"/>
      <c r="R66" s="72" t="s">
        <v>101</v>
      </c>
      <c r="S66" s="73" t="s">
        <v>59</v>
      </c>
      <c r="T66" s="75"/>
      <c r="U66" s="75"/>
      <c r="V66" s="75"/>
      <c r="W66" s="75"/>
      <c r="X66" s="75"/>
      <c r="Y66" s="75"/>
      <c r="Z66" s="75"/>
      <c r="AA66" s="73"/>
      <c r="AB66" s="42"/>
      <c r="AC66" s="42"/>
      <c r="AD66" s="42"/>
      <c r="AE66" s="43"/>
      <c r="AF66" s="43"/>
    </row>
    <row r="67" spans="1:32" s="43" customFormat="1" ht="29.25" x14ac:dyDescent="0.25">
      <c r="A67" s="40"/>
      <c r="B67" s="40"/>
      <c r="C67" s="40"/>
      <c r="D67" s="40"/>
      <c r="E67" s="40"/>
      <c r="F67" s="40"/>
      <c r="G67" s="40"/>
      <c r="H67" s="40"/>
      <c r="I67" s="41"/>
      <c r="J67" s="40"/>
      <c r="K67" s="40"/>
      <c r="L67" s="40"/>
      <c r="M67" s="40"/>
      <c r="N67" s="40"/>
      <c r="O67" s="40"/>
      <c r="P67" s="40"/>
      <c r="Q67" s="40"/>
      <c r="R67" s="39" t="s">
        <v>64</v>
      </c>
      <c r="S67" s="15" t="s">
        <v>54</v>
      </c>
      <c r="T67" s="21"/>
      <c r="U67" s="21"/>
      <c r="V67" s="6"/>
      <c r="W67" s="21"/>
      <c r="X67" s="21"/>
      <c r="Y67" s="21"/>
      <c r="Z67" s="6"/>
      <c r="AA67" s="15"/>
      <c r="AB67" s="42"/>
      <c r="AC67" s="42"/>
      <c r="AD67" s="42"/>
    </row>
    <row r="68" spans="1:32" s="2" customFormat="1" ht="29.25" x14ac:dyDescent="0.25">
      <c r="A68" s="71" t="s">
        <v>23</v>
      </c>
      <c r="B68" s="71" t="s">
        <v>23</v>
      </c>
      <c r="C68" s="71" t="s">
        <v>39</v>
      </c>
      <c r="D68" s="71" t="s">
        <v>23</v>
      </c>
      <c r="E68" s="71" t="s">
        <v>33</v>
      </c>
      <c r="F68" s="71" t="s">
        <v>23</v>
      </c>
      <c r="G68" s="71" t="s">
        <v>32</v>
      </c>
      <c r="H68" s="71" t="s">
        <v>23</v>
      </c>
      <c r="I68" s="71" t="s">
        <v>31</v>
      </c>
      <c r="J68" s="71" t="s">
        <v>24</v>
      </c>
      <c r="K68" s="71" t="s">
        <v>23</v>
      </c>
      <c r="L68" s="71" t="s">
        <v>24</v>
      </c>
      <c r="M68" s="71" t="s">
        <v>23</v>
      </c>
      <c r="N68" s="71" t="s">
        <v>23</v>
      </c>
      <c r="O68" s="71" t="s">
        <v>23</v>
      </c>
      <c r="P68" s="71" t="s">
        <v>24</v>
      </c>
      <c r="Q68" s="71" t="s">
        <v>24</v>
      </c>
      <c r="R68" s="72" t="s">
        <v>63</v>
      </c>
      <c r="S68" s="73" t="s">
        <v>59</v>
      </c>
      <c r="T68" s="74">
        <v>2000</v>
      </c>
      <c r="U68" s="74">
        <v>1051</v>
      </c>
      <c r="V68" s="74"/>
      <c r="W68" s="75"/>
      <c r="X68" s="75"/>
      <c r="Y68" s="75"/>
      <c r="Z68" s="75">
        <f>T68+U68+V68+W68+X68+Y68</f>
        <v>3051</v>
      </c>
      <c r="AA68" s="73">
        <v>2017</v>
      </c>
      <c r="AB68" s="93"/>
      <c r="AC68" s="42"/>
      <c r="AD68" s="42"/>
      <c r="AE68" s="43"/>
      <c r="AF68" s="43"/>
    </row>
    <row r="69" spans="1:32" s="43" customFormat="1" ht="31.9" customHeight="1" x14ac:dyDescent="0.25">
      <c r="A69" s="40"/>
      <c r="B69" s="40"/>
      <c r="C69" s="40"/>
      <c r="D69" s="40"/>
      <c r="E69" s="40"/>
      <c r="F69" s="40"/>
      <c r="G69" s="40"/>
      <c r="H69" s="40"/>
      <c r="I69" s="41"/>
      <c r="J69" s="40"/>
      <c r="K69" s="40"/>
      <c r="L69" s="40"/>
      <c r="M69" s="40"/>
      <c r="N69" s="40"/>
      <c r="O69" s="40"/>
      <c r="P69" s="40"/>
      <c r="Q69" s="40"/>
      <c r="R69" s="39" t="s">
        <v>64</v>
      </c>
      <c r="S69" s="15" t="s">
        <v>54</v>
      </c>
      <c r="T69" s="21">
        <v>1</v>
      </c>
      <c r="U69" s="21">
        <v>1</v>
      </c>
      <c r="V69" s="6"/>
      <c r="W69" s="21"/>
      <c r="X69" s="21"/>
      <c r="Y69" s="21"/>
      <c r="Z69" s="6">
        <v>1</v>
      </c>
      <c r="AA69" s="15">
        <v>2016</v>
      </c>
      <c r="AB69" s="42"/>
      <c r="AC69" s="42"/>
      <c r="AD69" s="42"/>
    </row>
    <row r="70" spans="1:32" s="43" customFormat="1" ht="44.25" x14ac:dyDescent="0.25">
      <c r="A70" s="40"/>
      <c r="B70" s="40"/>
      <c r="C70" s="40"/>
      <c r="D70" s="40"/>
      <c r="E70" s="40"/>
      <c r="F70" s="40"/>
      <c r="G70" s="40"/>
      <c r="H70" s="40"/>
      <c r="I70" s="41"/>
      <c r="J70" s="40"/>
      <c r="K70" s="40"/>
      <c r="L70" s="40"/>
      <c r="M70" s="40"/>
      <c r="N70" s="40"/>
      <c r="O70" s="40"/>
      <c r="P70" s="40"/>
      <c r="Q70" s="40"/>
      <c r="R70" s="39" t="s">
        <v>195</v>
      </c>
      <c r="S70" s="15" t="s">
        <v>11</v>
      </c>
      <c r="T70" s="8"/>
      <c r="U70" s="8"/>
      <c r="V70" s="8"/>
      <c r="W70" s="8"/>
      <c r="X70" s="8"/>
      <c r="Y70" s="8"/>
      <c r="Z70" s="5">
        <f>SUM(T70:Y70)</f>
        <v>0</v>
      </c>
      <c r="AA70" s="18">
        <v>2017</v>
      </c>
      <c r="AB70" s="42"/>
      <c r="AC70" s="42"/>
      <c r="AD70" s="42"/>
    </row>
    <row r="71" spans="1:32" s="2" customFormat="1" ht="44.25" x14ac:dyDescent="0.25">
      <c r="A71" s="71" t="s">
        <v>23</v>
      </c>
      <c r="B71" s="71" t="s">
        <v>23</v>
      </c>
      <c r="C71" s="71" t="s">
        <v>39</v>
      </c>
      <c r="D71" s="71" t="s">
        <v>23</v>
      </c>
      <c r="E71" s="71" t="s">
        <v>33</v>
      </c>
      <c r="F71" s="71" t="s">
        <v>23</v>
      </c>
      <c r="G71" s="71" t="s">
        <v>32</v>
      </c>
      <c r="H71" s="71" t="s">
        <v>23</v>
      </c>
      <c r="I71" s="71" t="s">
        <v>31</v>
      </c>
      <c r="J71" s="71" t="s">
        <v>24</v>
      </c>
      <c r="K71" s="71" t="s">
        <v>23</v>
      </c>
      <c r="L71" s="71" t="s">
        <v>24</v>
      </c>
      <c r="M71" s="71" t="s">
        <v>23</v>
      </c>
      <c r="N71" s="71" t="s">
        <v>23</v>
      </c>
      <c r="O71" s="71" t="s">
        <v>23</v>
      </c>
      <c r="P71" s="71" t="s">
        <v>23</v>
      </c>
      <c r="Q71" s="71" t="s">
        <v>23</v>
      </c>
      <c r="R71" s="72" t="s">
        <v>58</v>
      </c>
      <c r="S71" s="73" t="s">
        <v>59</v>
      </c>
      <c r="T71" s="75">
        <f>T72+T73</f>
        <v>1711</v>
      </c>
      <c r="U71" s="75">
        <f>U72+U73</f>
        <v>4009.9999999999995</v>
      </c>
      <c r="V71" s="75"/>
      <c r="W71" s="75"/>
      <c r="X71" s="75"/>
      <c r="Y71" s="75"/>
      <c r="Z71" s="75">
        <f>T71+U71+V71+W71+X71+Y71</f>
        <v>5721</v>
      </c>
      <c r="AA71" s="73">
        <v>2016</v>
      </c>
      <c r="AB71" s="42"/>
      <c r="AC71" s="42"/>
      <c r="AD71" s="42"/>
      <c r="AE71" s="43"/>
      <c r="AF71" s="43"/>
    </row>
    <row r="72" spans="1:32" s="2" customFormat="1" ht="44.25" x14ac:dyDescent="0.25">
      <c r="A72" s="71" t="s">
        <v>23</v>
      </c>
      <c r="B72" s="71" t="s">
        <v>23</v>
      </c>
      <c r="C72" s="71" t="s">
        <v>39</v>
      </c>
      <c r="D72" s="71" t="s">
        <v>23</v>
      </c>
      <c r="E72" s="71" t="s">
        <v>33</v>
      </c>
      <c r="F72" s="71" t="s">
        <v>23</v>
      </c>
      <c r="G72" s="71" t="s">
        <v>32</v>
      </c>
      <c r="H72" s="71" t="s">
        <v>23</v>
      </c>
      <c r="I72" s="71" t="s">
        <v>31</v>
      </c>
      <c r="J72" s="71" t="s">
        <v>24</v>
      </c>
      <c r="K72" s="71" t="s">
        <v>39</v>
      </c>
      <c r="L72" s="71" t="s">
        <v>35</v>
      </c>
      <c r="M72" s="71" t="s">
        <v>34</v>
      </c>
      <c r="N72" s="71" t="s">
        <v>25</v>
      </c>
      <c r="O72" s="71"/>
      <c r="P72" s="71"/>
      <c r="Q72" s="71"/>
      <c r="R72" s="72" t="s">
        <v>58</v>
      </c>
      <c r="S72" s="73" t="s">
        <v>59</v>
      </c>
      <c r="T72" s="74">
        <v>1711</v>
      </c>
      <c r="U72" s="74"/>
      <c r="V72" s="75"/>
      <c r="W72" s="74"/>
      <c r="X72" s="74"/>
      <c r="Y72" s="74"/>
      <c r="Z72" s="75">
        <f>T72+U72+V72+W72+X72+Y72</f>
        <v>1711</v>
      </c>
      <c r="AA72" s="73">
        <v>2015</v>
      </c>
      <c r="AB72" s="42"/>
      <c r="AC72" s="42"/>
      <c r="AD72" s="42"/>
      <c r="AE72" s="43"/>
      <c r="AF72" s="43"/>
    </row>
    <row r="73" spans="1:32" s="2" customFormat="1" ht="44.25" x14ac:dyDescent="0.25">
      <c r="A73" s="71" t="s">
        <v>23</v>
      </c>
      <c r="B73" s="71" t="s">
        <v>23</v>
      </c>
      <c r="C73" s="71" t="s">
        <v>39</v>
      </c>
      <c r="D73" s="71" t="s">
        <v>23</v>
      </c>
      <c r="E73" s="71" t="s">
        <v>33</v>
      </c>
      <c r="F73" s="71" t="s">
        <v>23</v>
      </c>
      <c r="G73" s="71" t="s">
        <v>32</v>
      </c>
      <c r="H73" s="71" t="s">
        <v>23</v>
      </c>
      <c r="I73" s="71" t="s">
        <v>31</v>
      </c>
      <c r="J73" s="71" t="s">
        <v>24</v>
      </c>
      <c r="K73" s="71" t="s">
        <v>23</v>
      </c>
      <c r="L73" s="71" t="s">
        <v>24</v>
      </c>
      <c r="M73" s="71" t="s">
        <v>24</v>
      </c>
      <c r="N73" s="71" t="s">
        <v>23</v>
      </c>
      <c r="O73" s="71" t="s">
        <v>39</v>
      </c>
      <c r="P73" s="71" t="s">
        <v>25</v>
      </c>
      <c r="Q73" s="71" t="s">
        <v>178</v>
      </c>
      <c r="R73" s="72" t="s">
        <v>58</v>
      </c>
      <c r="S73" s="73" t="s">
        <v>59</v>
      </c>
      <c r="T73" s="75"/>
      <c r="U73" s="74">
        <f>6964.9-2954.9</f>
        <v>4009.9999999999995</v>
      </c>
      <c r="V73" s="75"/>
      <c r="W73" s="74"/>
      <c r="X73" s="74"/>
      <c r="Y73" s="74"/>
      <c r="Z73" s="75">
        <f>T73+U73+V73+W73+X73+Y73</f>
        <v>4009.9999999999995</v>
      </c>
      <c r="AA73" s="73">
        <v>2016</v>
      </c>
      <c r="AB73" s="96"/>
      <c r="AC73" s="42"/>
      <c r="AD73" s="42"/>
      <c r="AE73" s="43"/>
      <c r="AF73" s="43"/>
    </row>
    <row r="74" spans="1:32" s="43" customFormat="1" ht="29.25" x14ac:dyDescent="0.25">
      <c r="A74" s="40"/>
      <c r="B74" s="40"/>
      <c r="C74" s="40"/>
      <c r="D74" s="40"/>
      <c r="E74" s="40"/>
      <c r="F74" s="40"/>
      <c r="G74" s="40"/>
      <c r="H74" s="40"/>
      <c r="I74" s="41"/>
      <c r="J74" s="40"/>
      <c r="K74" s="40"/>
      <c r="L74" s="40"/>
      <c r="M74" s="40"/>
      <c r="N74" s="40"/>
      <c r="O74" s="40"/>
      <c r="P74" s="40"/>
      <c r="Q74" s="40"/>
      <c r="R74" s="39" t="s">
        <v>65</v>
      </c>
      <c r="S74" s="15" t="s">
        <v>54</v>
      </c>
      <c r="T74" s="21">
        <v>1</v>
      </c>
      <c r="U74" s="21"/>
      <c r="V74" s="6"/>
      <c r="W74" s="21"/>
      <c r="X74" s="21"/>
      <c r="Y74" s="21"/>
      <c r="Z74" s="6">
        <f>T74</f>
        <v>1</v>
      </c>
      <c r="AA74" s="15">
        <v>2015</v>
      </c>
      <c r="AB74" s="42"/>
      <c r="AC74" s="42"/>
      <c r="AD74" s="42"/>
    </row>
    <row r="75" spans="1:32" s="43" customFormat="1" ht="44.25" x14ac:dyDescent="0.25">
      <c r="A75" s="40"/>
      <c r="B75" s="40"/>
      <c r="C75" s="40"/>
      <c r="D75" s="40"/>
      <c r="E75" s="40"/>
      <c r="F75" s="40"/>
      <c r="G75" s="40"/>
      <c r="H75" s="40"/>
      <c r="I75" s="41"/>
      <c r="J75" s="40"/>
      <c r="K75" s="40"/>
      <c r="L75" s="40"/>
      <c r="M75" s="40"/>
      <c r="N75" s="40"/>
      <c r="O75" s="40"/>
      <c r="P75" s="40"/>
      <c r="Q75" s="40"/>
      <c r="R75" s="39" t="s">
        <v>179</v>
      </c>
      <c r="S75" s="15" t="s">
        <v>54</v>
      </c>
      <c r="T75" s="21">
        <v>1</v>
      </c>
      <c r="U75" s="21">
        <v>1</v>
      </c>
      <c r="V75" s="6"/>
      <c r="W75" s="21"/>
      <c r="X75" s="21"/>
      <c r="Y75" s="21"/>
      <c r="Z75" s="6">
        <f>T75</f>
        <v>1</v>
      </c>
      <c r="AA75" s="15">
        <v>2016</v>
      </c>
      <c r="AB75" s="42"/>
      <c r="AC75" s="42"/>
      <c r="AD75" s="42"/>
    </row>
    <row r="76" spans="1:32" s="43" customFormat="1" ht="46.15" customHeight="1" x14ac:dyDescent="0.25">
      <c r="A76" s="71" t="s">
        <v>23</v>
      </c>
      <c r="B76" s="71" t="s">
        <v>23</v>
      </c>
      <c r="C76" s="71" t="s">
        <v>39</v>
      </c>
      <c r="D76" s="71" t="s">
        <v>23</v>
      </c>
      <c r="E76" s="71" t="s">
        <v>33</v>
      </c>
      <c r="F76" s="71" t="s">
        <v>23</v>
      </c>
      <c r="G76" s="71" t="s">
        <v>32</v>
      </c>
      <c r="H76" s="71" t="s">
        <v>23</v>
      </c>
      <c r="I76" s="71" t="s">
        <v>31</v>
      </c>
      <c r="J76" s="71" t="s">
        <v>24</v>
      </c>
      <c r="K76" s="71" t="s">
        <v>23</v>
      </c>
      <c r="L76" s="71" t="s">
        <v>24</v>
      </c>
      <c r="M76" s="71" t="s">
        <v>24</v>
      </c>
      <c r="N76" s="71" t="s">
        <v>25</v>
      </c>
      <c r="O76" s="71"/>
      <c r="P76" s="71"/>
      <c r="Q76" s="71"/>
      <c r="R76" s="72" t="s">
        <v>68</v>
      </c>
      <c r="S76" s="73" t="s">
        <v>59</v>
      </c>
      <c r="T76" s="75">
        <f>1395.3-311</f>
        <v>1084.3</v>
      </c>
      <c r="U76" s="74"/>
      <c r="V76" s="75"/>
      <c r="W76" s="74"/>
      <c r="X76" s="74"/>
      <c r="Y76" s="74"/>
      <c r="Z76" s="75">
        <f>T76</f>
        <v>1084.3</v>
      </c>
      <c r="AA76" s="73">
        <v>2015</v>
      </c>
      <c r="AB76" s="47"/>
      <c r="AC76" s="42"/>
      <c r="AD76" s="42"/>
    </row>
    <row r="77" spans="1:32" s="43" customFormat="1" ht="29.25" x14ac:dyDescent="0.25">
      <c r="A77" s="40"/>
      <c r="B77" s="40"/>
      <c r="C77" s="40"/>
      <c r="D77" s="40"/>
      <c r="E77" s="40"/>
      <c r="F77" s="40"/>
      <c r="G77" s="40"/>
      <c r="H77" s="40"/>
      <c r="I77" s="41"/>
      <c r="J77" s="40"/>
      <c r="K77" s="40"/>
      <c r="L77" s="40"/>
      <c r="M77" s="40"/>
      <c r="N77" s="40"/>
      <c r="O77" s="40"/>
      <c r="P77" s="40"/>
      <c r="Q77" s="40"/>
      <c r="R77" s="39" t="s">
        <v>69</v>
      </c>
      <c r="S77" s="15" t="s">
        <v>54</v>
      </c>
      <c r="T77" s="21">
        <v>1</v>
      </c>
      <c r="U77" s="21"/>
      <c r="V77" s="6"/>
      <c r="W77" s="21"/>
      <c r="X77" s="21"/>
      <c r="Y77" s="21"/>
      <c r="Z77" s="6">
        <f>T77</f>
        <v>1</v>
      </c>
      <c r="AA77" s="15">
        <v>2015</v>
      </c>
      <c r="AB77" s="42"/>
      <c r="AC77" s="42"/>
      <c r="AD77" s="42"/>
    </row>
    <row r="78" spans="1:32" s="65" customFormat="1" ht="42.75" x14ac:dyDescent="0.25">
      <c r="A78" s="63" t="s">
        <v>23</v>
      </c>
      <c r="B78" s="63" t="s">
        <v>24</v>
      </c>
      <c r="C78" s="63" t="s">
        <v>25</v>
      </c>
      <c r="D78" s="63" t="s">
        <v>23</v>
      </c>
      <c r="E78" s="63" t="s">
        <v>33</v>
      </c>
      <c r="F78" s="63" t="s">
        <v>23</v>
      </c>
      <c r="G78" s="63" t="s">
        <v>32</v>
      </c>
      <c r="H78" s="63" t="s">
        <v>23</v>
      </c>
      <c r="I78" s="63" t="s">
        <v>31</v>
      </c>
      <c r="J78" s="63" t="s">
        <v>24</v>
      </c>
      <c r="K78" s="63" t="s">
        <v>23</v>
      </c>
      <c r="L78" s="63" t="s">
        <v>25</v>
      </c>
      <c r="M78" s="63" t="s">
        <v>23</v>
      </c>
      <c r="N78" s="63" t="s">
        <v>23</v>
      </c>
      <c r="O78" s="63" t="s">
        <v>23</v>
      </c>
      <c r="P78" s="63" t="s">
        <v>23</v>
      </c>
      <c r="Q78" s="63" t="s">
        <v>23</v>
      </c>
      <c r="R78" s="64" t="s">
        <v>37</v>
      </c>
      <c r="S78" s="28" t="s">
        <v>59</v>
      </c>
      <c r="T78" s="16">
        <f>T81+T87</f>
        <v>259621.5</v>
      </c>
      <c r="U78" s="16">
        <f>U81+U87</f>
        <v>238774.5</v>
      </c>
      <c r="V78" s="16">
        <f>V80+V87</f>
        <v>91211.9</v>
      </c>
      <c r="W78" s="16">
        <f>W81+W87</f>
        <v>34422.1</v>
      </c>
      <c r="X78" s="16">
        <f>X81+X87</f>
        <v>29348</v>
      </c>
      <c r="Y78" s="16">
        <f>Y81+Y87</f>
        <v>19671.2</v>
      </c>
      <c r="Z78" s="16">
        <f t="shared" si="4"/>
        <v>673049.2</v>
      </c>
      <c r="AA78" s="28">
        <v>2020</v>
      </c>
      <c r="AB78" s="42"/>
      <c r="AC78" s="42"/>
      <c r="AD78" s="42"/>
      <c r="AE78" s="43"/>
      <c r="AF78" s="43"/>
    </row>
    <row r="79" spans="1:32" s="2" customFormat="1" ht="44.25" x14ac:dyDescent="0.25">
      <c r="A79" s="40"/>
      <c r="B79" s="40"/>
      <c r="C79" s="40"/>
      <c r="D79" s="40"/>
      <c r="E79" s="40"/>
      <c r="F79" s="40"/>
      <c r="G79" s="40"/>
      <c r="H79" s="40"/>
      <c r="I79" s="41"/>
      <c r="J79" s="40"/>
      <c r="K79" s="40"/>
      <c r="L79" s="40"/>
      <c r="M79" s="40"/>
      <c r="N79" s="40"/>
      <c r="O79" s="40"/>
      <c r="P79" s="40"/>
      <c r="Q79" s="40"/>
      <c r="R79" s="39" t="s">
        <v>102</v>
      </c>
      <c r="S79" s="15" t="s">
        <v>60</v>
      </c>
      <c r="T79" s="8">
        <f>T84+T92</f>
        <v>223.1</v>
      </c>
      <c r="U79" s="8">
        <f>U84+U102</f>
        <v>315.7</v>
      </c>
      <c r="V79" s="8">
        <f>V84+V102</f>
        <v>98.7</v>
      </c>
      <c r="W79" s="8">
        <f>W84+W102</f>
        <v>20.8</v>
      </c>
      <c r="X79" s="8">
        <f>X84+X102</f>
        <v>19</v>
      </c>
      <c r="Y79" s="8">
        <f>Y84+Y102</f>
        <v>18.2</v>
      </c>
      <c r="Z79" s="5">
        <f t="shared" si="4"/>
        <v>695.5</v>
      </c>
      <c r="AA79" s="15">
        <v>2020</v>
      </c>
      <c r="AB79" s="42"/>
      <c r="AC79" s="42"/>
      <c r="AD79" s="42"/>
      <c r="AE79" s="43"/>
      <c r="AF79" s="43"/>
    </row>
    <row r="80" spans="1:32" s="2" customFormat="1" ht="30" x14ac:dyDescent="0.25">
      <c r="A80" s="71" t="s">
        <v>23</v>
      </c>
      <c r="B80" s="71" t="s">
        <v>24</v>
      </c>
      <c r="C80" s="71" t="s">
        <v>25</v>
      </c>
      <c r="D80" s="71" t="s">
        <v>23</v>
      </c>
      <c r="E80" s="71" t="s">
        <v>33</v>
      </c>
      <c r="F80" s="71" t="s">
        <v>23</v>
      </c>
      <c r="G80" s="71" t="s">
        <v>32</v>
      </c>
      <c r="H80" s="71" t="s">
        <v>23</v>
      </c>
      <c r="I80" s="71" t="s">
        <v>31</v>
      </c>
      <c r="J80" s="71" t="s">
        <v>24</v>
      </c>
      <c r="K80" s="71" t="s">
        <v>23</v>
      </c>
      <c r="L80" s="71" t="s">
        <v>25</v>
      </c>
      <c r="M80" s="71" t="s">
        <v>23</v>
      </c>
      <c r="N80" s="71" t="s">
        <v>23</v>
      </c>
      <c r="O80" s="71" t="s">
        <v>23</v>
      </c>
      <c r="P80" s="71" t="s">
        <v>23</v>
      </c>
      <c r="Q80" s="71" t="s">
        <v>23</v>
      </c>
      <c r="R80" s="72" t="s">
        <v>103</v>
      </c>
      <c r="S80" s="73" t="s">
        <v>59</v>
      </c>
      <c r="T80" s="75">
        <f>28017.3+2000-10639.7</f>
        <v>19377.599999999999</v>
      </c>
      <c r="U80" s="75">
        <f>10000+2950-1039.8-1000</f>
        <v>10910.2</v>
      </c>
      <c r="V80" s="75">
        <f>V81+V82</f>
        <v>55333.8</v>
      </c>
      <c r="W80" s="75">
        <v>15000</v>
      </c>
      <c r="X80" s="75">
        <v>8000</v>
      </c>
      <c r="Y80" s="75">
        <v>2958.3</v>
      </c>
      <c r="Z80" s="75">
        <f t="shared" ref="Z80" si="14">T80+U80+V80+W80+X80+Y80</f>
        <v>111579.90000000001</v>
      </c>
      <c r="AA80" s="73">
        <v>2020</v>
      </c>
      <c r="AB80" s="42"/>
      <c r="AC80" s="42"/>
      <c r="AD80" s="42"/>
      <c r="AE80" s="43"/>
      <c r="AF80" s="43"/>
    </row>
    <row r="81" spans="1:28" ht="30" x14ac:dyDescent="0.25">
      <c r="A81" s="71" t="s">
        <v>23</v>
      </c>
      <c r="B81" s="71" t="s">
        <v>24</v>
      </c>
      <c r="C81" s="71" t="s">
        <v>25</v>
      </c>
      <c r="D81" s="71" t="s">
        <v>23</v>
      </c>
      <c r="E81" s="71" t="s">
        <v>33</v>
      </c>
      <c r="F81" s="71" t="s">
        <v>23</v>
      </c>
      <c r="G81" s="71" t="s">
        <v>32</v>
      </c>
      <c r="H81" s="71" t="s">
        <v>23</v>
      </c>
      <c r="I81" s="71" t="s">
        <v>31</v>
      </c>
      <c r="J81" s="71" t="s">
        <v>24</v>
      </c>
      <c r="K81" s="71" t="s">
        <v>23</v>
      </c>
      <c r="L81" s="71" t="s">
        <v>25</v>
      </c>
      <c r="M81" s="71" t="s">
        <v>23</v>
      </c>
      <c r="N81" s="71" t="s">
        <v>23</v>
      </c>
      <c r="O81" s="71" t="s">
        <v>23</v>
      </c>
      <c r="P81" s="71" t="s">
        <v>23</v>
      </c>
      <c r="Q81" s="71" t="s">
        <v>23</v>
      </c>
      <c r="R81" s="72" t="s">
        <v>103</v>
      </c>
      <c r="S81" s="73" t="s">
        <v>59</v>
      </c>
      <c r="T81" s="75">
        <f>28017.3+2000-10639.7</f>
        <v>19377.599999999999</v>
      </c>
      <c r="U81" s="75">
        <f>10000+2950-1039.8-1000</f>
        <v>10910.2</v>
      </c>
      <c r="V81" s="75">
        <f>13919.5-5845.3-600-212.7</f>
        <v>7261.5</v>
      </c>
      <c r="W81" s="75">
        <v>15000</v>
      </c>
      <c r="X81" s="75">
        <v>8000</v>
      </c>
      <c r="Y81" s="75">
        <v>2958.3</v>
      </c>
      <c r="Z81" s="75">
        <f t="shared" si="4"/>
        <v>63507.600000000006</v>
      </c>
      <c r="AA81" s="73">
        <v>2020</v>
      </c>
      <c r="AB81" s="47"/>
    </row>
    <row r="82" spans="1:28" ht="30" x14ac:dyDescent="0.25">
      <c r="A82" s="71" t="s">
        <v>23</v>
      </c>
      <c r="B82" s="71" t="s">
        <v>24</v>
      </c>
      <c r="C82" s="71" t="s">
        <v>25</v>
      </c>
      <c r="D82" s="71" t="s">
        <v>23</v>
      </c>
      <c r="E82" s="71" t="s">
        <v>33</v>
      </c>
      <c r="F82" s="71" t="s">
        <v>23</v>
      </c>
      <c r="G82" s="71" t="s">
        <v>32</v>
      </c>
      <c r="H82" s="71" t="s">
        <v>23</v>
      </c>
      <c r="I82" s="71" t="s">
        <v>31</v>
      </c>
      <c r="J82" s="71" t="s">
        <v>24</v>
      </c>
      <c r="K82" s="71" t="s">
        <v>23</v>
      </c>
      <c r="L82" s="71" t="s">
        <v>25</v>
      </c>
      <c r="M82" s="71" t="s">
        <v>180</v>
      </c>
      <c r="N82" s="71" t="s">
        <v>23</v>
      </c>
      <c r="O82" s="71" t="s">
        <v>25</v>
      </c>
      <c r="P82" s="71" t="s">
        <v>23</v>
      </c>
      <c r="Q82" s="71" t="s">
        <v>210</v>
      </c>
      <c r="R82" s="72" t="s">
        <v>103</v>
      </c>
      <c r="S82" s="73" t="s">
        <v>59</v>
      </c>
      <c r="T82" s="74"/>
      <c r="U82" s="74"/>
      <c r="V82" s="75">
        <v>48072.3</v>
      </c>
      <c r="W82" s="75"/>
      <c r="X82" s="75"/>
      <c r="Y82" s="75"/>
      <c r="Z82" s="75">
        <f>V82</f>
        <v>48072.3</v>
      </c>
      <c r="AA82" s="73">
        <v>2017</v>
      </c>
      <c r="AB82" s="47"/>
    </row>
    <row r="83" spans="1:28" ht="44.25" x14ac:dyDescent="0.25">
      <c r="A83" s="40"/>
      <c r="B83" s="40"/>
      <c r="C83" s="40"/>
      <c r="D83" s="40"/>
      <c r="E83" s="40"/>
      <c r="F83" s="40"/>
      <c r="G83" s="40"/>
      <c r="H83" s="40"/>
      <c r="I83" s="41"/>
      <c r="J83" s="40"/>
      <c r="K83" s="40"/>
      <c r="L83" s="40"/>
      <c r="M83" s="40"/>
      <c r="N83" s="40"/>
      <c r="O83" s="40"/>
      <c r="P83" s="40"/>
      <c r="Q83" s="40"/>
      <c r="R83" s="39" t="s">
        <v>104</v>
      </c>
      <c r="S83" s="15" t="s">
        <v>55</v>
      </c>
      <c r="T83" s="21">
        <v>2</v>
      </c>
      <c r="U83" s="21">
        <v>1</v>
      </c>
      <c r="V83" s="21">
        <v>1</v>
      </c>
      <c r="W83" s="21">
        <v>1</v>
      </c>
      <c r="X83" s="21"/>
      <c r="Y83" s="21"/>
      <c r="Z83" s="6">
        <f t="shared" si="4"/>
        <v>5</v>
      </c>
      <c r="AA83" s="15">
        <v>2018</v>
      </c>
      <c r="AB83" s="47"/>
    </row>
    <row r="84" spans="1:28" ht="45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17" t="s">
        <v>105</v>
      </c>
      <c r="S84" s="15" t="s">
        <v>60</v>
      </c>
      <c r="T84" s="8">
        <v>8</v>
      </c>
      <c r="U84" s="8">
        <v>6.8</v>
      </c>
      <c r="V84" s="8">
        <v>1.8</v>
      </c>
      <c r="W84" s="8">
        <v>1.8</v>
      </c>
      <c r="X84" s="8">
        <v>1</v>
      </c>
      <c r="Y84" s="8">
        <v>0.2</v>
      </c>
      <c r="Z84" s="5">
        <f t="shared" si="4"/>
        <v>19.600000000000001</v>
      </c>
      <c r="AA84" s="15">
        <v>2020</v>
      </c>
    </row>
    <row r="85" spans="1:28" ht="30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17" t="s">
        <v>216</v>
      </c>
      <c r="S85" s="15" t="s">
        <v>55</v>
      </c>
      <c r="T85" s="21"/>
      <c r="U85" s="21"/>
      <c r="V85" s="21">
        <v>1</v>
      </c>
      <c r="W85" s="21"/>
      <c r="X85" s="21"/>
      <c r="Y85" s="21"/>
      <c r="Z85" s="6">
        <f>V85</f>
        <v>1</v>
      </c>
      <c r="AA85" s="15">
        <v>2017</v>
      </c>
    </row>
    <row r="86" spans="1:28" ht="31.1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17" t="s">
        <v>217</v>
      </c>
      <c r="S86" s="15" t="s">
        <v>28</v>
      </c>
      <c r="T86" s="8"/>
      <c r="U86" s="8"/>
      <c r="V86" s="8">
        <v>168</v>
      </c>
      <c r="W86" s="8"/>
      <c r="X86" s="8"/>
      <c r="Y86" s="8"/>
      <c r="Z86" s="5">
        <f>V86</f>
        <v>168</v>
      </c>
      <c r="AA86" s="15">
        <v>2017</v>
      </c>
    </row>
    <row r="87" spans="1:28" ht="30" x14ac:dyDescent="0.25">
      <c r="A87" s="71"/>
      <c r="B87" s="71"/>
      <c r="C87" s="71"/>
      <c r="D87" s="71" t="s">
        <v>23</v>
      </c>
      <c r="E87" s="71" t="s">
        <v>33</v>
      </c>
      <c r="F87" s="71" t="s">
        <v>23</v>
      </c>
      <c r="G87" s="71" t="s">
        <v>32</v>
      </c>
      <c r="H87" s="71" t="s">
        <v>23</v>
      </c>
      <c r="I87" s="71" t="s">
        <v>31</v>
      </c>
      <c r="J87" s="71" t="s">
        <v>24</v>
      </c>
      <c r="K87" s="71" t="s">
        <v>23</v>
      </c>
      <c r="L87" s="71" t="s">
        <v>25</v>
      </c>
      <c r="M87" s="71" t="s">
        <v>23</v>
      </c>
      <c r="N87" s="71" t="s">
        <v>23</v>
      </c>
      <c r="O87" s="71" t="s">
        <v>23</v>
      </c>
      <c r="P87" s="71" t="s">
        <v>23</v>
      </c>
      <c r="Q87" s="71" t="s">
        <v>23</v>
      </c>
      <c r="R87" s="72" t="s">
        <v>106</v>
      </c>
      <c r="S87" s="73" t="s">
        <v>59</v>
      </c>
      <c r="T87" s="75">
        <f>T88+T89</f>
        <v>240243.9</v>
      </c>
      <c r="U87" s="75">
        <f>U93+U95+U98+U99+U100</f>
        <v>227864.3</v>
      </c>
      <c r="V87" s="75">
        <f>V88+V89+V90+V91</f>
        <v>35878.1</v>
      </c>
      <c r="W87" s="75">
        <f t="shared" ref="W87:Y87" si="15">W93+W95+W98</f>
        <v>19422.099999999999</v>
      </c>
      <c r="X87" s="75">
        <f t="shared" si="15"/>
        <v>21348</v>
      </c>
      <c r="Y87" s="75">
        <f t="shared" si="15"/>
        <v>16712.900000000001</v>
      </c>
      <c r="Z87" s="75">
        <f>Z88+Z89+Z90+Z91</f>
        <v>561469.29999999993</v>
      </c>
      <c r="AA87" s="73">
        <v>2020</v>
      </c>
    </row>
    <row r="88" spans="1:28" ht="30" x14ac:dyDescent="0.25">
      <c r="A88" s="71"/>
      <c r="B88" s="71"/>
      <c r="C88" s="71"/>
      <c r="D88" s="71" t="s">
        <v>23</v>
      </c>
      <c r="E88" s="71" t="s">
        <v>33</v>
      </c>
      <c r="F88" s="71" t="s">
        <v>23</v>
      </c>
      <c r="G88" s="71" t="s">
        <v>32</v>
      </c>
      <c r="H88" s="71" t="s">
        <v>23</v>
      </c>
      <c r="I88" s="71" t="s">
        <v>31</v>
      </c>
      <c r="J88" s="71" t="s">
        <v>24</v>
      </c>
      <c r="K88" s="71" t="s">
        <v>25</v>
      </c>
      <c r="L88" s="71" t="s">
        <v>23</v>
      </c>
      <c r="M88" s="71" t="s">
        <v>23</v>
      </c>
      <c r="N88" s="71" t="s">
        <v>23</v>
      </c>
      <c r="O88" s="71" t="s">
        <v>23</v>
      </c>
      <c r="P88" s="71" t="s">
        <v>23</v>
      </c>
      <c r="Q88" s="71" t="s">
        <v>23</v>
      </c>
      <c r="R88" s="72" t="s">
        <v>106</v>
      </c>
      <c r="S88" s="73" t="s">
        <v>59</v>
      </c>
      <c r="T88" s="75">
        <f>T93+T95+T98</f>
        <v>206053.3</v>
      </c>
      <c r="U88" s="75">
        <f>U98</f>
        <v>27864.3</v>
      </c>
      <c r="V88" s="75">
        <f t="shared" ref="V88:Y88" si="16">V98</f>
        <v>5878.4</v>
      </c>
      <c r="W88" s="75">
        <f t="shared" si="16"/>
        <v>19422.099999999999</v>
      </c>
      <c r="X88" s="75">
        <f t="shared" si="16"/>
        <v>21348</v>
      </c>
      <c r="Y88" s="75">
        <f t="shared" si="16"/>
        <v>16712.900000000001</v>
      </c>
      <c r="Z88" s="75">
        <f t="shared" si="4"/>
        <v>297279</v>
      </c>
      <c r="AA88" s="73">
        <v>2020</v>
      </c>
    </row>
    <row r="89" spans="1:28" ht="30" x14ac:dyDescent="0.25">
      <c r="A89" s="71"/>
      <c r="B89" s="71"/>
      <c r="C89" s="71"/>
      <c r="D89" s="71" t="s">
        <v>23</v>
      </c>
      <c r="E89" s="71" t="s">
        <v>33</v>
      </c>
      <c r="F89" s="71" t="s">
        <v>23</v>
      </c>
      <c r="G89" s="71" t="s">
        <v>32</v>
      </c>
      <c r="H89" s="71" t="s">
        <v>23</v>
      </c>
      <c r="I89" s="71" t="s">
        <v>31</v>
      </c>
      <c r="J89" s="71" t="s">
        <v>24</v>
      </c>
      <c r="K89" s="71" t="s">
        <v>35</v>
      </c>
      <c r="L89" s="71" t="s">
        <v>33</v>
      </c>
      <c r="M89" s="71" t="s">
        <v>23</v>
      </c>
      <c r="N89" s="71" t="s">
        <v>25</v>
      </c>
      <c r="O89" s="71" t="s">
        <v>23</v>
      </c>
      <c r="P89" s="71" t="s">
        <v>23</v>
      </c>
      <c r="Q89" s="71" t="s">
        <v>23</v>
      </c>
      <c r="R89" s="72" t="s">
        <v>106</v>
      </c>
      <c r="S89" s="73" t="s">
        <v>59</v>
      </c>
      <c r="T89" s="75">
        <f>T99</f>
        <v>34190.6</v>
      </c>
      <c r="U89" s="75"/>
      <c r="V89" s="75"/>
      <c r="W89" s="75"/>
      <c r="X89" s="75"/>
      <c r="Y89" s="75"/>
      <c r="Z89" s="75">
        <f t="shared" si="4"/>
        <v>34190.6</v>
      </c>
      <c r="AA89" s="73">
        <v>2015</v>
      </c>
    </row>
    <row r="90" spans="1:28" ht="30" x14ac:dyDescent="0.25">
      <c r="A90" s="71"/>
      <c r="B90" s="71"/>
      <c r="C90" s="71"/>
      <c r="D90" s="71" t="s">
        <v>23</v>
      </c>
      <c r="E90" s="71" t="s">
        <v>33</v>
      </c>
      <c r="F90" s="71" t="s">
        <v>23</v>
      </c>
      <c r="G90" s="71" t="s">
        <v>32</v>
      </c>
      <c r="H90" s="71" t="s">
        <v>23</v>
      </c>
      <c r="I90" s="71" t="s">
        <v>31</v>
      </c>
      <c r="J90" s="71" t="s">
        <v>24</v>
      </c>
      <c r="K90" s="71" t="s">
        <v>23</v>
      </c>
      <c r="L90" s="71" t="s">
        <v>25</v>
      </c>
      <c r="M90" s="71" t="s">
        <v>30</v>
      </c>
      <c r="N90" s="71" t="s">
        <v>33</v>
      </c>
      <c r="O90" s="71" t="s">
        <v>25</v>
      </c>
      <c r="P90" s="71" t="s">
        <v>23</v>
      </c>
      <c r="Q90" s="71" t="s">
        <v>178</v>
      </c>
      <c r="R90" s="72" t="s">
        <v>106</v>
      </c>
      <c r="S90" s="73" t="s">
        <v>59</v>
      </c>
      <c r="T90" s="74"/>
      <c r="U90" s="75">
        <v>200000</v>
      </c>
      <c r="V90" s="74"/>
      <c r="W90" s="74"/>
      <c r="X90" s="74"/>
      <c r="Y90" s="74"/>
      <c r="Z90" s="75">
        <f>T90+U90+V90+W90+X90+Y90</f>
        <v>200000</v>
      </c>
      <c r="AA90" s="73">
        <v>2016</v>
      </c>
    </row>
    <row r="91" spans="1:28" ht="30" x14ac:dyDescent="0.25">
      <c r="A91" s="71"/>
      <c r="B91" s="71"/>
      <c r="C91" s="71"/>
      <c r="D91" s="71" t="s">
        <v>23</v>
      </c>
      <c r="E91" s="71" t="s">
        <v>33</v>
      </c>
      <c r="F91" s="71" t="s">
        <v>23</v>
      </c>
      <c r="G91" s="71" t="s">
        <v>32</v>
      </c>
      <c r="H91" s="71" t="s">
        <v>23</v>
      </c>
      <c r="I91" s="71" t="s">
        <v>31</v>
      </c>
      <c r="J91" s="71" t="s">
        <v>24</v>
      </c>
      <c r="K91" s="71" t="s">
        <v>23</v>
      </c>
      <c r="L91" s="71" t="s">
        <v>25</v>
      </c>
      <c r="M91" s="71" t="s">
        <v>180</v>
      </c>
      <c r="N91" s="71" t="s">
        <v>23</v>
      </c>
      <c r="O91" s="71" t="s">
        <v>25</v>
      </c>
      <c r="P91" s="71" t="s">
        <v>23</v>
      </c>
      <c r="Q91" s="71" t="s">
        <v>210</v>
      </c>
      <c r="R91" s="72" t="s">
        <v>106</v>
      </c>
      <c r="S91" s="73" t="s">
        <v>59</v>
      </c>
      <c r="T91" s="74"/>
      <c r="U91" s="75"/>
      <c r="V91" s="74">
        <f>V101</f>
        <v>29999.7</v>
      </c>
      <c r="W91" s="74"/>
      <c r="X91" s="74"/>
      <c r="Y91" s="74"/>
      <c r="Z91" s="75">
        <f>V91</f>
        <v>29999.7</v>
      </c>
      <c r="AA91" s="73">
        <v>2017</v>
      </c>
    </row>
    <row r="92" spans="1:28" ht="45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17" t="s">
        <v>107</v>
      </c>
      <c r="S92" s="15" t="s">
        <v>60</v>
      </c>
      <c r="T92" s="8">
        <f>T94+T96+T102</f>
        <v>215.1</v>
      </c>
      <c r="U92" s="8">
        <f>U94+U96+U102</f>
        <v>308.89999999999998</v>
      </c>
      <c r="V92" s="8"/>
      <c r="W92" s="8">
        <f>W94+W96+W102</f>
        <v>19</v>
      </c>
      <c r="X92" s="8">
        <f>X94+X96+X102</f>
        <v>18</v>
      </c>
      <c r="Y92" s="8">
        <f>Y94+Y96+Y102</f>
        <v>18</v>
      </c>
      <c r="Z92" s="5">
        <f t="shared" si="4"/>
        <v>579</v>
      </c>
      <c r="AA92" s="15">
        <v>2020</v>
      </c>
    </row>
    <row r="93" spans="1:28" ht="30" x14ac:dyDescent="0.25">
      <c r="A93" s="71" t="s">
        <v>23</v>
      </c>
      <c r="B93" s="71" t="s">
        <v>23</v>
      </c>
      <c r="C93" s="71" t="s">
        <v>34</v>
      </c>
      <c r="D93" s="71" t="s">
        <v>23</v>
      </c>
      <c r="E93" s="71" t="s">
        <v>33</v>
      </c>
      <c r="F93" s="71" t="s">
        <v>23</v>
      </c>
      <c r="G93" s="71" t="s">
        <v>32</v>
      </c>
      <c r="H93" s="71" t="s">
        <v>23</v>
      </c>
      <c r="I93" s="71" t="s">
        <v>31</v>
      </c>
      <c r="J93" s="71" t="s">
        <v>24</v>
      </c>
      <c r="K93" s="71" t="s">
        <v>23</v>
      </c>
      <c r="L93" s="71" t="s">
        <v>25</v>
      </c>
      <c r="M93" s="71" t="s">
        <v>23</v>
      </c>
      <c r="N93" s="71" t="s">
        <v>23</v>
      </c>
      <c r="O93" s="71" t="s">
        <v>23</v>
      </c>
      <c r="P93" s="71" t="s">
        <v>23</v>
      </c>
      <c r="Q93" s="71" t="s">
        <v>23</v>
      </c>
      <c r="R93" s="72" t="s">
        <v>106</v>
      </c>
      <c r="S93" s="73" t="s">
        <v>59</v>
      </c>
      <c r="T93" s="74">
        <v>1300</v>
      </c>
      <c r="U93" s="74"/>
      <c r="V93" s="74"/>
      <c r="W93" s="74"/>
      <c r="X93" s="74"/>
      <c r="Y93" s="74"/>
      <c r="Z93" s="75">
        <f t="shared" si="4"/>
        <v>1300</v>
      </c>
      <c r="AA93" s="73">
        <v>2015</v>
      </c>
    </row>
    <row r="94" spans="1:28" ht="45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17" t="s">
        <v>108</v>
      </c>
      <c r="S94" s="15" t="s">
        <v>60</v>
      </c>
      <c r="T94" s="8">
        <v>0.3</v>
      </c>
      <c r="U94" s="8"/>
      <c r="V94" s="8"/>
      <c r="W94" s="8"/>
      <c r="X94" s="8"/>
      <c r="Y94" s="8"/>
      <c r="Z94" s="5">
        <f t="shared" si="4"/>
        <v>0.3</v>
      </c>
      <c r="AA94" s="15">
        <v>2015</v>
      </c>
    </row>
    <row r="95" spans="1:28" ht="30" x14ac:dyDescent="0.25">
      <c r="A95" s="71" t="s">
        <v>23</v>
      </c>
      <c r="B95" s="71" t="s">
        <v>23</v>
      </c>
      <c r="C95" s="71" t="s">
        <v>33</v>
      </c>
      <c r="D95" s="71" t="s">
        <v>23</v>
      </c>
      <c r="E95" s="71" t="s">
        <v>33</v>
      </c>
      <c r="F95" s="71" t="s">
        <v>23</v>
      </c>
      <c r="G95" s="71" t="s">
        <v>32</v>
      </c>
      <c r="H95" s="71" t="s">
        <v>23</v>
      </c>
      <c r="I95" s="71" t="s">
        <v>31</v>
      </c>
      <c r="J95" s="71" t="s">
        <v>24</v>
      </c>
      <c r="K95" s="71" t="s">
        <v>23</v>
      </c>
      <c r="L95" s="71" t="s">
        <v>25</v>
      </c>
      <c r="M95" s="71" t="s">
        <v>23</v>
      </c>
      <c r="N95" s="71" t="s">
        <v>23</v>
      </c>
      <c r="O95" s="71" t="s">
        <v>23</v>
      </c>
      <c r="P95" s="71" t="s">
        <v>23</v>
      </c>
      <c r="Q95" s="71" t="s">
        <v>23</v>
      </c>
      <c r="R95" s="72" t="s">
        <v>106</v>
      </c>
      <c r="S95" s="73" t="s">
        <v>59</v>
      </c>
      <c r="T95" s="74">
        <f>1881-310</f>
        <v>1571</v>
      </c>
      <c r="U95" s="74"/>
      <c r="V95" s="74"/>
      <c r="W95" s="74"/>
      <c r="X95" s="74"/>
      <c r="Y95" s="74"/>
      <c r="Z95" s="75">
        <f t="shared" si="4"/>
        <v>1571</v>
      </c>
      <c r="AA95" s="73">
        <v>2015</v>
      </c>
    </row>
    <row r="96" spans="1:28" ht="45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17" t="s">
        <v>109</v>
      </c>
      <c r="S96" s="15" t="s">
        <v>60</v>
      </c>
      <c r="T96" s="8">
        <v>1.3</v>
      </c>
      <c r="U96" s="8"/>
      <c r="V96" s="8"/>
      <c r="W96" s="8"/>
      <c r="X96" s="8"/>
      <c r="Y96" s="8"/>
      <c r="Z96" s="5">
        <f t="shared" si="4"/>
        <v>1.3</v>
      </c>
      <c r="AA96" s="15">
        <v>2015</v>
      </c>
    </row>
    <row r="97" spans="1:32" ht="30" x14ac:dyDescent="0.25">
      <c r="A97" s="71" t="s">
        <v>23</v>
      </c>
      <c r="B97" s="71" t="s">
        <v>24</v>
      </c>
      <c r="C97" s="71" t="s">
        <v>25</v>
      </c>
      <c r="D97" s="71" t="s">
        <v>23</v>
      </c>
      <c r="E97" s="71" t="s">
        <v>33</v>
      </c>
      <c r="F97" s="71" t="s">
        <v>23</v>
      </c>
      <c r="G97" s="71" t="s">
        <v>32</v>
      </c>
      <c r="H97" s="71" t="s">
        <v>23</v>
      </c>
      <c r="I97" s="71" t="s">
        <v>31</v>
      </c>
      <c r="J97" s="71" t="s">
        <v>24</v>
      </c>
      <c r="K97" s="71" t="s">
        <v>23</v>
      </c>
      <c r="L97" s="71" t="s">
        <v>25</v>
      </c>
      <c r="M97" s="71" t="s">
        <v>23</v>
      </c>
      <c r="N97" s="71" t="s">
        <v>23</v>
      </c>
      <c r="O97" s="71" t="s">
        <v>23</v>
      </c>
      <c r="P97" s="71" t="s">
        <v>23</v>
      </c>
      <c r="Q97" s="71" t="s">
        <v>23</v>
      </c>
      <c r="R97" s="72" t="s">
        <v>106</v>
      </c>
      <c r="S97" s="73" t="s">
        <v>59</v>
      </c>
      <c r="T97" s="75">
        <f>T98+T99</f>
        <v>237372.9</v>
      </c>
      <c r="U97" s="75">
        <f>U98+U99+U100</f>
        <v>227864.3</v>
      </c>
      <c r="V97" s="75">
        <f>V98+V99+V100+V101</f>
        <v>35878.1</v>
      </c>
      <c r="W97" s="75">
        <f t="shared" ref="W97:Y97" si="17">W98+W99</f>
        <v>19422.099999999999</v>
      </c>
      <c r="X97" s="75">
        <f t="shared" si="17"/>
        <v>21348</v>
      </c>
      <c r="Y97" s="75">
        <f t="shared" si="17"/>
        <v>16712.900000000001</v>
      </c>
      <c r="Z97" s="75">
        <f>T97+U97+V97+W97+X97+Y97</f>
        <v>558598.29999999993</v>
      </c>
      <c r="AA97" s="73">
        <v>2020</v>
      </c>
    </row>
    <row r="98" spans="1:32" ht="27.6" customHeight="1" x14ac:dyDescent="0.25">
      <c r="A98" s="71" t="s">
        <v>23</v>
      </c>
      <c r="B98" s="71" t="s">
        <v>24</v>
      </c>
      <c r="C98" s="71" t="s">
        <v>25</v>
      </c>
      <c r="D98" s="71" t="s">
        <v>23</v>
      </c>
      <c r="E98" s="71" t="s">
        <v>33</v>
      </c>
      <c r="F98" s="71" t="s">
        <v>23</v>
      </c>
      <c r="G98" s="71" t="s">
        <v>32</v>
      </c>
      <c r="H98" s="71" t="s">
        <v>23</v>
      </c>
      <c r="I98" s="71" t="s">
        <v>31</v>
      </c>
      <c r="J98" s="71" t="s">
        <v>24</v>
      </c>
      <c r="K98" s="71" t="s">
        <v>23</v>
      </c>
      <c r="L98" s="71" t="s">
        <v>25</v>
      </c>
      <c r="M98" s="71" t="s">
        <v>23</v>
      </c>
      <c r="N98" s="71" t="s">
        <v>23</v>
      </c>
      <c r="O98" s="71" t="s">
        <v>23</v>
      </c>
      <c r="P98" s="71" t="s">
        <v>23</v>
      </c>
      <c r="Q98" s="71" t="s">
        <v>23</v>
      </c>
      <c r="R98" s="72" t="s">
        <v>106</v>
      </c>
      <c r="S98" s="73" t="s">
        <v>59</v>
      </c>
      <c r="T98" s="74">
        <f>208466.4-2928.6-2000-355.5</f>
        <v>203182.3</v>
      </c>
      <c r="U98" s="74">
        <f>50000-2950-2047.3-4865+1039.8-1654.9-5800-5858.3</f>
        <v>27864.3</v>
      </c>
      <c r="V98" s="74">
        <f>16437.3-5309.4-8274.5+600+2425</f>
        <v>5878.4</v>
      </c>
      <c r="W98" s="74">
        <v>19422.099999999999</v>
      </c>
      <c r="X98" s="74">
        <v>21348</v>
      </c>
      <c r="Y98" s="74">
        <v>16712.900000000001</v>
      </c>
      <c r="Z98" s="75">
        <f>T98+U98+V98+W98+X98+Y98</f>
        <v>294408</v>
      </c>
      <c r="AA98" s="73">
        <v>2020</v>
      </c>
      <c r="AB98" s="99" t="s">
        <v>241</v>
      </c>
      <c r="AC98" s="47"/>
    </row>
    <row r="99" spans="1:32" s="78" customFormat="1" ht="30" x14ac:dyDescent="0.25">
      <c r="A99" s="71" t="s">
        <v>23</v>
      </c>
      <c r="B99" s="71" t="s">
        <v>24</v>
      </c>
      <c r="C99" s="71" t="s">
        <v>25</v>
      </c>
      <c r="D99" s="71" t="s">
        <v>23</v>
      </c>
      <c r="E99" s="71" t="s">
        <v>33</v>
      </c>
      <c r="F99" s="71" t="s">
        <v>23</v>
      </c>
      <c r="G99" s="71" t="s">
        <v>32</v>
      </c>
      <c r="H99" s="71" t="s">
        <v>23</v>
      </c>
      <c r="I99" s="71" t="s">
        <v>31</v>
      </c>
      <c r="J99" s="71" t="s">
        <v>24</v>
      </c>
      <c r="K99" s="71" t="s">
        <v>35</v>
      </c>
      <c r="L99" s="71" t="s">
        <v>33</v>
      </c>
      <c r="M99" s="71" t="s">
        <v>23</v>
      </c>
      <c r="N99" s="71" t="s">
        <v>25</v>
      </c>
      <c r="O99" s="71"/>
      <c r="P99" s="71"/>
      <c r="Q99" s="71"/>
      <c r="R99" s="72" t="s">
        <v>106</v>
      </c>
      <c r="S99" s="73" t="s">
        <v>59</v>
      </c>
      <c r="T99" s="74">
        <f>34550.9-360.3</f>
        <v>34190.6</v>
      </c>
      <c r="U99" s="74"/>
      <c r="V99" s="74"/>
      <c r="W99" s="74"/>
      <c r="X99" s="74"/>
      <c r="Y99" s="74"/>
      <c r="Z99" s="75">
        <f>T99+U99+V99+W99+X99+Y99</f>
        <v>34190.6</v>
      </c>
      <c r="AA99" s="73">
        <v>2015</v>
      </c>
      <c r="AB99" s="48"/>
      <c r="AC99" s="48"/>
      <c r="AD99" s="94"/>
      <c r="AE99" s="95"/>
      <c r="AF99" s="95"/>
    </row>
    <row r="100" spans="1:32" s="78" customFormat="1" ht="30" x14ac:dyDescent="0.25">
      <c r="A100" s="71" t="s">
        <v>23</v>
      </c>
      <c r="B100" s="71" t="s">
        <v>24</v>
      </c>
      <c r="C100" s="71" t="s">
        <v>25</v>
      </c>
      <c r="D100" s="71" t="s">
        <v>23</v>
      </c>
      <c r="E100" s="71" t="s">
        <v>33</v>
      </c>
      <c r="F100" s="71" t="s">
        <v>23</v>
      </c>
      <c r="G100" s="71" t="s">
        <v>32</v>
      </c>
      <c r="H100" s="71" t="s">
        <v>23</v>
      </c>
      <c r="I100" s="71" t="s">
        <v>31</v>
      </c>
      <c r="J100" s="71" t="s">
        <v>24</v>
      </c>
      <c r="K100" s="71" t="s">
        <v>23</v>
      </c>
      <c r="L100" s="71" t="s">
        <v>25</v>
      </c>
      <c r="M100" s="71" t="s">
        <v>30</v>
      </c>
      <c r="N100" s="71" t="s">
        <v>33</v>
      </c>
      <c r="O100" s="71" t="s">
        <v>25</v>
      </c>
      <c r="P100" s="71" t="s">
        <v>23</v>
      </c>
      <c r="Q100" s="71" t="s">
        <v>178</v>
      </c>
      <c r="R100" s="72" t="s">
        <v>106</v>
      </c>
      <c r="S100" s="73" t="s">
        <v>59</v>
      </c>
      <c r="T100" s="74"/>
      <c r="U100" s="74">
        <v>200000</v>
      </c>
      <c r="V100" s="74"/>
      <c r="W100" s="74"/>
      <c r="X100" s="74"/>
      <c r="Y100" s="74"/>
      <c r="Z100" s="75">
        <f>T100+U100+V100+W100+X100+Y100</f>
        <v>200000</v>
      </c>
      <c r="AA100" s="73">
        <v>2016</v>
      </c>
      <c r="AB100" s="48"/>
      <c r="AC100" s="48"/>
      <c r="AD100" s="94"/>
      <c r="AE100" s="95"/>
      <c r="AF100" s="95"/>
    </row>
    <row r="101" spans="1:32" s="78" customFormat="1" ht="30" x14ac:dyDescent="0.25">
      <c r="A101" s="71" t="s">
        <v>23</v>
      </c>
      <c r="B101" s="71" t="s">
        <v>24</v>
      </c>
      <c r="C101" s="71" t="s">
        <v>25</v>
      </c>
      <c r="D101" s="71" t="s">
        <v>23</v>
      </c>
      <c r="E101" s="71" t="s">
        <v>33</v>
      </c>
      <c r="F101" s="71" t="s">
        <v>23</v>
      </c>
      <c r="G101" s="71" t="s">
        <v>32</v>
      </c>
      <c r="H101" s="71" t="s">
        <v>23</v>
      </c>
      <c r="I101" s="71" t="s">
        <v>31</v>
      </c>
      <c r="J101" s="71" t="s">
        <v>24</v>
      </c>
      <c r="K101" s="71" t="s">
        <v>23</v>
      </c>
      <c r="L101" s="71" t="s">
        <v>25</v>
      </c>
      <c r="M101" s="71" t="s">
        <v>180</v>
      </c>
      <c r="N101" s="71" t="s">
        <v>23</v>
      </c>
      <c r="O101" s="71" t="s">
        <v>25</v>
      </c>
      <c r="P101" s="71" t="s">
        <v>23</v>
      </c>
      <c r="Q101" s="71" t="s">
        <v>210</v>
      </c>
      <c r="R101" s="72" t="s">
        <v>106</v>
      </c>
      <c r="S101" s="73" t="s">
        <v>59</v>
      </c>
      <c r="T101" s="74"/>
      <c r="U101" s="74"/>
      <c r="V101" s="74">
        <f>29787+212.7</f>
        <v>29999.7</v>
      </c>
      <c r="W101" s="74"/>
      <c r="X101" s="74"/>
      <c r="Y101" s="74"/>
      <c r="Z101" s="75">
        <f>V101</f>
        <v>29999.7</v>
      </c>
      <c r="AA101" s="73">
        <v>2017</v>
      </c>
      <c r="AB101" s="48"/>
      <c r="AC101" s="48"/>
      <c r="AD101" s="94"/>
      <c r="AE101" s="95"/>
      <c r="AF101" s="95"/>
    </row>
    <row r="102" spans="1:32" s="1" customFormat="1" ht="45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17" t="s">
        <v>110</v>
      </c>
      <c r="S102" s="15" t="s">
        <v>60</v>
      </c>
      <c r="T102" s="8">
        <v>213.5</v>
      </c>
      <c r="U102" s="8">
        <f>25.9+283</f>
        <v>308.89999999999998</v>
      </c>
      <c r="V102" s="8">
        <v>96.9</v>
      </c>
      <c r="W102" s="8">
        <v>19</v>
      </c>
      <c r="X102" s="8">
        <v>18</v>
      </c>
      <c r="Y102" s="8">
        <v>18</v>
      </c>
      <c r="Z102" s="5">
        <f t="shared" si="4"/>
        <v>674.3</v>
      </c>
      <c r="AA102" s="15">
        <v>2020</v>
      </c>
      <c r="AB102" s="48"/>
      <c r="AC102" s="48"/>
      <c r="AD102" s="48"/>
    </row>
    <row r="103" spans="1:32" s="65" customFormat="1" ht="30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17" t="s">
        <v>111</v>
      </c>
      <c r="S103" s="15" t="s">
        <v>55</v>
      </c>
      <c r="T103" s="21">
        <v>3</v>
      </c>
      <c r="U103" s="21"/>
      <c r="V103" s="21">
        <v>1</v>
      </c>
      <c r="W103" s="21">
        <v>2</v>
      </c>
      <c r="X103" s="21">
        <v>2</v>
      </c>
      <c r="Y103" s="21">
        <v>2</v>
      </c>
      <c r="Z103" s="6">
        <f t="shared" si="4"/>
        <v>10</v>
      </c>
      <c r="AA103" s="15">
        <v>2020</v>
      </c>
      <c r="AB103" s="48"/>
      <c r="AC103" s="42"/>
      <c r="AD103" s="42"/>
      <c r="AE103" s="43"/>
      <c r="AF103" s="43"/>
    </row>
    <row r="104" spans="1:32" s="80" customFormat="1" ht="30" x14ac:dyDescent="0.25">
      <c r="A104" s="79"/>
      <c r="B104" s="79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17" t="s">
        <v>218</v>
      </c>
      <c r="S104" s="15" t="s">
        <v>12</v>
      </c>
      <c r="T104" s="8">
        <f>160+0.1</f>
        <v>160.1</v>
      </c>
      <c r="U104" s="8"/>
      <c r="V104" s="8">
        <v>51</v>
      </c>
      <c r="W104" s="8">
        <v>25</v>
      </c>
      <c r="X104" s="8">
        <v>97</v>
      </c>
      <c r="Y104" s="8">
        <v>97</v>
      </c>
      <c r="Z104" s="5">
        <f t="shared" si="4"/>
        <v>430.1</v>
      </c>
      <c r="AA104" s="15">
        <v>2020</v>
      </c>
      <c r="AB104" s="96"/>
      <c r="AC104" s="96"/>
      <c r="AD104" s="96"/>
      <c r="AE104" s="97"/>
      <c r="AF104" s="97"/>
    </row>
    <row r="105" spans="1:32" ht="42.75" x14ac:dyDescent="0.25">
      <c r="A105" s="63" t="s">
        <v>23</v>
      </c>
      <c r="B105" s="63" t="s">
        <v>23</v>
      </c>
      <c r="C105" s="63" t="s">
        <v>23</v>
      </c>
      <c r="D105" s="63" t="s">
        <v>23</v>
      </c>
      <c r="E105" s="63" t="s">
        <v>33</v>
      </c>
      <c r="F105" s="63" t="s">
        <v>23</v>
      </c>
      <c r="G105" s="63" t="s">
        <v>32</v>
      </c>
      <c r="H105" s="63" t="s">
        <v>23</v>
      </c>
      <c r="I105" s="63" t="s">
        <v>31</v>
      </c>
      <c r="J105" s="63" t="s">
        <v>24</v>
      </c>
      <c r="K105" s="63" t="s">
        <v>23</v>
      </c>
      <c r="L105" s="63" t="s">
        <v>34</v>
      </c>
      <c r="M105" s="63" t="s">
        <v>23</v>
      </c>
      <c r="N105" s="63" t="s">
        <v>23</v>
      </c>
      <c r="O105" s="63" t="s">
        <v>23</v>
      </c>
      <c r="P105" s="63" t="s">
        <v>23</v>
      </c>
      <c r="Q105" s="63" t="s">
        <v>23</v>
      </c>
      <c r="R105" s="64" t="s">
        <v>36</v>
      </c>
      <c r="S105" s="28" t="s">
        <v>59</v>
      </c>
      <c r="T105" s="16">
        <f t="shared" ref="T105:Y105" si="18">T107+T112+T115+T128+T130+T132</f>
        <v>555707.99999999988</v>
      </c>
      <c r="U105" s="16">
        <f t="shared" si="18"/>
        <v>602437.20000000007</v>
      </c>
      <c r="V105" s="16">
        <f t="shared" si="18"/>
        <v>495670.2</v>
      </c>
      <c r="W105" s="16">
        <f t="shared" si="18"/>
        <v>397613.89999999997</v>
      </c>
      <c r="X105" s="16">
        <f t="shared" si="18"/>
        <v>361494.99999999994</v>
      </c>
      <c r="Y105" s="16">
        <f t="shared" si="18"/>
        <v>354711.8</v>
      </c>
      <c r="Z105" s="16">
        <f>T105+U105+V105+W105+X105+Y105</f>
        <v>2767636.0999999996</v>
      </c>
      <c r="AA105" s="28">
        <v>2020</v>
      </c>
    </row>
    <row r="106" spans="1:32" ht="44.25" x14ac:dyDescent="0.25">
      <c r="A106" s="40"/>
      <c r="B106" s="40"/>
      <c r="C106" s="40"/>
      <c r="D106" s="40"/>
      <c r="E106" s="40"/>
      <c r="F106" s="40"/>
      <c r="G106" s="40"/>
      <c r="H106" s="40"/>
      <c r="I106" s="41"/>
      <c r="J106" s="40"/>
      <c r="K106" s="40"/>
      <c r="L106" s="40"/>
      <c r="M106" s="40"/>
      <c r="N106" s="40"/>
      <c r="O106" s="40"/>
      <c r="P106" s="40"/>
      <c r="Q106" s="40"/>
      <c r="R106" s="39" t="s">
        <v>112</v>
      </c>
      <c r="S106" s="15" t="s">
        <v>60</v>
      </c>
      <c r="T106" s="8">
        <f>T108</f>
        <v>6722.4</v>
      </c>
      <c r="U106" s="8">
        <f t="shared" ref="U106:Z106" si="19">U108</f>
        <v>5804.6</v>
      </c>
      <c r="V106" s="8">
        <f t="shared" si="19"/>
        <v>5804.6</v>
      </c>
      <c r="W106" s="8">
        <f t="shared" si="19"/>
        <v>5804.6</v>
      </c>
      <c r="X106" s="8">
        <f t="shared" si="19"/>
        <v>5804.6</v>
      </c>
      <c r="Y106" s="8">
        <f t="shared" si="19"/>
        <v>5804.6</v>
      </c>
      <c r="Z106" s="5">
        <f t="shared" si="19"/>
        <v>5804.6</v>
      </c>
      <c r="AA106" s="15">
        <v>2020</v>
      </c>
    </row>
    <row r="107" spans="1:32" ht="46.15" customHeight="1" x14ac:dyDescent="0.25">
      <c r="A107" s="71" t="s">
        <v>23</v>
      </c>
      <c r="B107" s="71" t="s">
        <v>24</v>
      </c>
      <c r="C107" s="71" t="s">
        <v>25</v>
      </c>
      <c r="D107" s="71" t="s">
        <v>23</v>
      </c>
      <c r="E107" s="71" t="s">
        <v>33</v>
      </c>
      <c r="F107" s="71" t="s">
        <v>23</v>
      </c>
      <c r="G107" s="71" t="s">
        <v>32</v>
      </c>
      <c r="H107" s="71" t="s">
        <v>23</v>
      </c>
      <c r="I107" s="71" t="s">
        <v>31</v>
      </c>
      <c r="J107" s="71" t="s">
        <v>24</v>
      </c>
      <c r="K107" s="71" t="s">
        <v>23</v>
      </c>
      <c r="L107" s="71" t="s">
        <v>34</v>
      </c>
      <c r="M107" s="71" t="s">
        <v>23</v>
      </c>
      <c r="N107" s="71" t="s">
        <v>23</v>
      </c>
      <c r="O107" s="71" t="s">
        <v>23</v>
      </c>
      <c r="P107" s="71" t="s">
        <v>23</v>
      </c>
      <c r="Q107" s="71" t="s">
        <v>23</v>
      </c>
      <c r="R107" s="72" t="s">
        <v>113</v>
      </c>
      <c r="S107" s="73" t="s">
        <v>59</v>
      </c>
      <c r="T107" s="75">
        <f>524597.1+9797.5</f>
        <v>534394.6</v>
      </c>
      <c r="U107" s="75">
        <f>560000-700-185-145.1-1284.7-993.1-56017.3</f>
        <v>500674.8000000001</v>
      </c>
      <c r="V107" s="75">
        <f>510303.9-40000</f>
        <v>470303.9</v>
      </c>
      <c r="W107" s="75">
        <v>374053.6</v>
      </c>
      <c r="X107" s="75">
        <v>337260.1</v>
      </c>
      <c r="Y107" s="75">
        <v>330676.90000000002</v>
      </c>
      <c r="Z107" s="75">
        <f>T107+U107+V107+W107+X107+Y107</f>
        <v>2547363.9000000004</v>
      </c>
      <c r="AA107" s="73">
        <v>2020</v>
      </c>
    </row>
    <row r="108" spans="1:32" ht="45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17" t="s">
        <v>114</v>
      </c>
      <c r="S108" s="15" t="s">
        <v>177</v>
      </c>
      <c r="T108" s="8">
        <v>6722.4</v>
      </c>
      <c r="U108" s="8">
        <v>5804.6</v>
      </c>
      <c r="V108" s="8">
        <v>5804.6</v>
      </c>
      <c r="W108" s="8">
        <v>5804.6</v>
      </c>
      <c r="X108" s="8">
        <v>5804.6</v>
      </c>
      <c r="Y108" s="8">
        <v>5804.6</v>
      </c>
      <c r="Z108" s="5">
        <v>5804.6</v>
      </c>
      <c r="AA108" s="15">
        <v>2020</v>
      </c>
    </row>
    <row r="109" spans="1:32" ht="45.6" customHeight="1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17" t="s">
        <v>115</v>
      </c>
      <c r="S109" s="15" t="s">
        <v>55</v>
      </c>
      <c r="T109" s="21">
        <v>43</v>
      </c>
      <c r="U109" s="21">
        <v>55</v>
      </c>
      <c r="V109" s="21"/>
      <c r="W109" s="21">
        <v>20</v>
      </c>
      <c r="X109" s="21">
        <v>92</v>
      </c>
      <c r="Y109" s="21">
        <v>92</v>
      </c>
      <c r="Z109" s="6">
        <f t="shared" ref="Z109:Z162" si="20">T109+U109+V109+W109+X109+Y109</f>
        <v>302</v>
      </c>
      <c r="AA109" s="15">
        <v>2020</v>
      </c>
    </row>
    <row r="110" spans="1:32" ht="45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17" t="s">
        <v>116</v>
      </c>
      <c r="S110" s="15" t="s">
        <v>55</v>
      </c>
      <c r="T110" s="21">
        <f>4367-2367</f>
        <v>2000</v>
      </c>
      <c r="U110" s="21">
        <f>2540+172+150</f>
        <v>2862</v>
      </c>
      <c r="V110" s="21">
        <v>2500</v>
      </c>
      <c r="W110" s="21">
        <v>2500</v>
      </c>
      <c r="X110" s="21">
        <v>2300</v>
      </c>
      <c r="Y110" s="21">
        <v>2300</v>
      </c>
      <c r="Z110" s="6">
        <f t="shared" si="20"/>
        <v>14462</v>
      </c>
      <c r="AA110" s="15">
        <v>2020</v>
      </c>
    </row>
    <row r="111" spans="1:32" ht="30.7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17" t="s">
        <v>117</v>
      </c>
      <c r="S111" s="15" t="s">
        <v>21</v>
      </c>
      <c r="T111" s="8">
        <v>78529</v>
      </c>
      <c r="U111" s="8">
        <v>64700</v>
      </c>
      <c r="V111" s="8">
        <v>68000</v>
      </c>
      <c r="W111" s="8">
        <v>60000</v>
      </c>
      <c r="X111" s="8">
        <v>55000</v>
      </c>
      <c r="Y111" s="8">
        <v>55000</v>
      </c>
      <c r="Z111" s="5">
        <f t="shared" si="20"/>
        <v>381229</v>
      </c>
      <c r="AA111" s="15">
        <v>2020</v>
      </c>
    </row>
    <row r="112" spans="1:32" s="78" customFormat="1" ht="33" customHeight="1" x14ac:dyDescent="0.25">
      <c r="A112" s="71" t="s">
        <v>23</v>
      </c>
      <c r="B112" s="71" t="s">
        <v>24</v>
      </c>
      <c r="C112" s="71" t="s">
        <v>25</v>
      </c>
      <c r="D112" s="71" t="s">
        <v>23</v>
      </c>
      <c r="E112" s="71" t="s">
        <v>33</v>
      </c>
      <c r="F112" s="71" t="s">
        <v>23</v>
      </c>
      <c r="G112" s="71" t="s">
        <v>32</v>
      </c>
      <c r="H112" s="71" t="s">
        <v>23</v>
      </c>
      <c r="I112" s="71" t="s">
        <v>31</v>
      </c>
      <c r="J112" s="71" t="s">
        <v>24</v>
      </c>
      <c r="K112" s="71" t="s">
        <v>23</v>
      </c>
      <c r="L112" s="71" t="s">
        <v>34</v>
      </c>
      <c r="M112" s="71" t="s">
        <v>23</v>
      </c>
      <c r="N112" s="71" t="s">
        <v>23</v>
      </c>
      <c r="O112" s="71" t="s">
        <v>23</v>
      </c>
      <c r="P112" s="71" t="s">
        <v>23</v>
      </c>
      <c r="Q112" s="71" t="s">
        <v>23</v>
      </c>
      <c r="R112" s="72" t="s">
        <v>174</v>
      </c>
      <c r="S112" s="73" t="s">
        <v>59</v>
      </c>
      <c r="T112" s="75">
        <f>8750.1-1323.9</f>
        <v>7426.2000000000007</v>
      </c>
      <c r="U112" s="75">
        <f>4000-420.3-400</f>
        <v>3179.7</v>
      </c>
      <c r="V112" s="75">
        <f>2633-20</f>
        <v>2613</v>
      </c>
      <c r="W112" s="75">
        <v>2500</v>
      </c>
      <c r="X112" s="75">
        <v>3174.6</v>
      </c>
      <c r="Y112" s="75">
        <v>3174.6</v>
      </c>
      <c r="Z112" s="75">
        <f t="shared" si="20"/>
        <v>22068.1</v>
      </c>
      <c r="AA112" s="73">
        <v>2020</v>
      </c>
      <c r="AB112" s="48" t="s">
        <v>239</v>
      </c>
      <c r="AC112" s="94"/>
      <c r="AD112" s="94"/>
      <c r="AE112" s="95"/>
      <c r="AF112" s="95"/>
    </row>
    <row r="113" spans="1:30" ht="30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7" t="s">
        <v>118</v>
      </c>
      <c r="S113" s="15" t="s">
        <v>55</v>
      </c>
      <c r="T113" s="18">
        <f>5+6</f>
        <v>11</v>
      </c>
      <c r="U113" s="18">
        <v>6</v>
      </c>
      <c r="V113" s="18">
        <v>2</v>
      </c>
      <c r="W113" s="18">
        <v>2</v>
      </c>
      <c r="X113" s="18">
        <v>2</v>
      </c>
      <c r="Y113" s="18">
        <v>2</v>
      </c>
      <c r="Z113" s="6">
        <f t="shared" si="20"/>
        <v>25</v>
      </c>
      <c r="AA113" s="15">
        <v>2020</v>
      </c>
    </row>
    <row r="114" spans="1:30" ht="30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17" t="s">
        <v>119</v>
      </c>
      <c r="S114" s="15" t="s">
        <v>55</v>
      </c>
      <c r="T114" s="18">
        <f>9+6</f>
        <v>15</v>
      </c>
      <c r="U114" s="18">
        <v>3</v>
      </c>
      <c r="V114" s="18">
        <v>2</v>
      </c>
      <c r="W114" s="18">
        <v>2</v>
      </c>
      <c r="X114" s="18">
        <v>2</v>
      </c>
      <c r="Y114" s="18">
        <v>2</v>
      </c>
      <c r="Z114" s="6">
        <f t="shared" si="20"/>
        <v>26</v>
      </c>
      <c r="AA114" s="15">
        <v>2020</v>
      </c>
    </row>
    <row r="115" spans="1:30" ht="45.6" customHeight="1" x14ac:dyDescent="0.25">
      <c r="A115" s="71"/>
      <c r="B115" s="71"/>
      <c r="C115" s="71"/>
      <c r="D115" s="71" t="s">
        <v>23</v>
      </c>
      <c r="E115" s="71" t="s">
        <v>33</v>
      </c>
      <c r="F115" s="71" t="s">
        <v>23</v>
      </c>
      <c r="G115" s="71" t="s">
        <v>32</v>
      </c>
      <c r="H115" s="71" t="s">
        <v>23</v>
      </c>
      <c r="I115" s="71" t="s">
        <v>31</v>
      </c>
      <c r="J115" s="71" t="s">
        <v>24</v>
      </c>
      <c r="K115" s="71" t="s">
        <v>23</v>
      </c>
      <c r="L115" s="71" t="s">
        <v>34</v>
      </c>
      <c r="M115" s="71" t="s">
        <v>23</v>
      </c>
      <c r="N115" s="71" t="s">
        <v>23</v>
      </c>
      <c r="O115" s="71" t="s">
        <v>23</v>
      </c>
      <c r="P115" s="71" t="s">
        <v>23</v>
      </c>
      <c r="Q115" s="71" t="s">
        <v>23</v>
      </c>
      <c r="R115" s="76" t="s">
        <v>120</v>
      </c>
      <c r="S115" s="73" t="s">
        <v>59</v>
      </c>
      <c r="T115" s="75">
        <f t="shared" ref="T115:Z115" si="21">T117+T120+T123+T126</f>
        <v>12968.2</v>
      </c>
      <c r="U115" s="75">
        <f t="shared" si="21"/>
        <v>13547.599999999999</v>
      </c>
      <c r="V115" s="75">
        <f t="shared" si="21"/>
        <v>21693.3</v>
      </c>
      <c r="W115" s="75">
        <f t="shared" si="21"/>
        <v>20260.3</v>
      </c>
      <c r="X115" s="75">
        <f t="shared" si="21"/>
        <v>20260.3</v>
      </c>
      <c r="Y115" s="75">
        <f t="shared" si="21"/>
        <v>20260.3</v>
      </c>
      <c r="Z115" s="75">
        <f t="shared" si="21"/>
        <v>108990</v>
      </c>
      <c r="AA115" s="73">
        <v>2020</v>
      </c>
    </row>
    <row r="116" spans="1:30" ht="32.450000000000003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17" t="s">
        <v>121</v>
      </c>
      <c r="S116" s="15" t="s">
        <v>28</v>
      </c>
      <c r="T116" s="8">
        <f t="shared" ref="T116:Z116" si="22">T118+T121+T124</f>
        <v>7673</v>
      </c>
      <c r="U116" s="8">
        <f t="shared" si="22"/>
        <v>4758</v>
      </c>
      <c r="V116" s="8">
        <f t="shared" si="22"/>
        <v>4453</v>
      </c>
      <c r="W116" s="8">
        <f t="shared" si="22"/>
        <v>1170</v>
      </c>
      <c r="X116" s="8">
        <f t="shared" si="22"/>
        <v>6482.5</v>
      </c>
      <c r="Y116" s="8">
        <f t="shared" si="22"/>
        <v>6482.5</v>
      </c>
      <c r="Z116" s="8">
        <f t="shared" si="22"/>
        <v>31019</v>
      </c>
      <c r="AA116" s="15">
        <v>2020</v>
      </c>
    </row>
    <row r="117" spans="1:30" ht="45" x14ac:dyDescent="0.25">
      <c r="A117" s="71" t="s">
        <v>23</v>
      </c>
      <c r="B117" s="71" t="s">
        <v>23</v>
      </c>
      <c r="C117" s="71" t="s">
        <v>34</v>
      </c>
      <c r="D117" s="71" t="s">
        <v>23</v>
      </c>
      <c r="E117" s="71" t="s">
        <v>33</v>
      </c>
      <c r="F117" s="71" t="s">
        <v>23</v>
      </c>
      <c r="G117" s="71" t="s">
        <v>32</v>
      </c>
      <c r="H117" s="71" t="s">
        <v>23</v>
      </c>
      <c r="I117" s="71" t="s">
        <v>31</v>
      </c>
      <c r="J117" s="71" t="s">
        <v>24</v>
      </c>
      <c r="K117" s="71" t="s">
        <v>23</v>
      </c>
      <c r="L117" s="71" t="s">
        <v>34</v>
      </c>
      <c r="M117" s="71" t="s">
        <v>23</v>
      </c>
      <c r="N117" s="71" t="s">
        <v>23</v>
      </c>
      <c r="O117" s="71" t="s">
        <v>23</v>
      </c>
      <c r="P117" s="71" t="s">
        <v>23</v>
      </c>
      <c r="Q117" s="71" t="s">
        <v>23</v>
      </c>
      <c r="R117" s="72" t="s">
        <v>122</v>
      </c>
      <c r="S117" s="73" t="s">
        <v>59</v>
      </c>
      <c r="T117" s="74">
        <f>2700-593.9</f>
        <v>2106.1</v>
      </c>
      <c r="U117" s="74">
        <f>2465.1-1132-246.5-62.4</f>
        <v>1024.1999999999998</v>
      </c>
      <c r="V117" s="74">
        <v>900</v>
      </c>
      <c r="W117" s="74">
        <v>252.2</v>
      </c>
      <c r="X117" s="74">
        <v>252.2</v>
      </c>
      <c r="Y117" s="74">
        <v>252.2</v>
      </c>
      <c r="Z117" s="75">
        <f t="shared" si="20"/>
        <v>4786.8999999999996</v>
      </c>
      <c r="AA117" s="73">
        <v>2020</v>
      </c>
    </row>
    <row r="118" spans="1:30" ht="29.45" customHeight="1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17" t="s">
        <v>123</v>
      </c>
      <c r="S118" s="15" t="s">
        <v>28</v>
      </c>
      <c r="T118" s="8">
        <v>3238</v>
      </c>
      <c r="U118" s="8">
        <v>3553</v>
      </c>
      <c r="V118" s="8">
        <v>2077</v>
      </c>
      <c r="W118" s="8">
        <v>1000</v>
      </c>
      <c r="X118" s="8">
        <v>3929.1</v>
      </c>
      <c r="Y118" s="8">
        <v>3929.1</v>
      </c>
      <c r="Z118" s="5">
        <f>T118+U118+V118+W118+X118+Y118</f>
        <v>17726.2</v>
      </c>
      <c r="AA118" s="15">
        <v>2020</v>
      </c>
    </row>
    <row r="119" spans="1:30" ht="30.6" customHeight="1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17" t="s">
        <v>124</v>
      </c>
      <c r="S119" s="15" t="s">
        <v>55</v>
      </c>
      <c r="T119" s="21">
        <v>6</v>
      </c>
      <c r="U119" s="21">
        <v>4</v>
      </c>
      <c r="V119" s="21"/>
      <c r="W119" s="21">
        <v>4</v>
      </c>
      <c r="X119" s="21">
        <v>4</v>
      </c>
      <c r="Y119" s="21">
        <v>4</v>
      </c>
      <c r="Z119" s="6">
        <f t="shared" si="20"/>
        <v>22</v>
      </c>
      <c r="AA119" s="15">
        <v>2020</v>
      </c>
    </row>
    <row r="120" spans="1:30" ht="45" x14ac:dyDescent="0.25">
      <c r="A120" s="71" t="s">
        <v>23</v>
      </c>
      <c r="B120" s="71" t="s">
        <v>23</v>
      </c>
      <c r="C120" s="71" t="s">
        <v>33</v>
      </c>
      <c r="D120" s="71" t="s">
        <v>23</v>
      </c>
      <c r="E120" s="71" t="s">
        <v>33</v>
      </c>
      <c r="F120" s="71" t="s">
        <v>23</v>
      </c>
      <c r="G120" s="71" t="s">
        <v>32</v>
      </c>
      <c r="H120" s="71" t="s">
        <v>23</v>
      </c>
      <c r="I120" s="71" t="s">
        <v>31</v>
      </c>
      <c r="J120" s="71" t="s">
        <v>24</v>
      </c>
      <c r="K120" s="71" t="s">
        <v>23</v>
      </c>
      <c r="L120" s="71" t="s">
        <v>34</v>
      </c>
      <c r="M120" s="71" t="s">
        <v>23</v>
      </c>
      <c r="N120" s="71" t="s">
        <v>23</v>
      </c>
      <c r="O120" s="71" t="s">
        <v>23</v>
      </c>
      <c r="P120" s="71" t="s">
        <v>23</v>
      </c>
      <c r="Q120" s="71" t="s">
        <v>23</v>
      </c>
      <c r="R120" s="72" t="s">
        <v>122</v>
      </c>
      <c r="S120" s="73" t="s">
        <v>59</v>
      </c>
      <c r="T120" s="74">
        <f>813-490</f>
        <v>323</v>
      </c>
      <c r="U120" s="74">
        <f>742.3-200-100-176.9</f>
        <v>265.39999999999998</v>
      </c>
      <c r="V120" s="74">
        <f>500-24.8</f>
        <v>475.2</v>
      </c>
      <c r="W120" s="74">
        <v>150</v>
      </c>
      <c r="X120" s="74">
        <v>150</v>
      </c>
      <c r="Y120" s="74">
        <v>150</v>
      </c>
      <c r="Z120" s="75">
        <f t="shared" si="20"/>
        <v>1513.6</v>
      </c>
      <c r="AA120" s="73">
        <v>2020</v>
      </c>
      <c r="AB120" s="94"/>
    </row>
    <row r="121" spans="1:30" ht="30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17" t="s">
        <v>125</v>
      </c>
      <c r="S121" s="15" t="s">
        <v>28</v>
      </c>
      <c r="T121" s="8">
        <f>1000+2400</f>
        <v>3400</v>
      </c>
      <c r="U121" s="8">
        <f>913-708</f>
        <v>205</v>
      </c>
      <c r="V121" s="8">
        <v>306</v>
      </c>
      <c r="W121" s="8">
        <v>70</v>
      </c>
      <c r="X121" s="8">
        <v>867.4</v>
      </c>
      <c r="Y121" s="8">
        <v>867.4</v>
      </c>
      <c r="Z121" s="5">
        <f t="shared" si="20"/>
        <v>5715.7999999999993</v>
      </c>
      <c r="AA121" s="15">
        <v>2020</v>
      </c>
    </row>
    <row r="122" spans="1:30" ht="30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17" t="s">
        <v>126</v>
      </c>
      <c r="S122" s="15" t="s">
        <v>12</v>
      </c>
      <c r="T122" s="8"/>
      <c r="U122" s="8">
        <f>365+498</f>
        <v>863</v>
      </c>
      <c r="V122" s="8">
        <v>175</v>
      </c>
      <c r="W122" s="8">
        <v>100</v>
      </c>
      <c r="X122" s="8">
        <v>347</v>
      </c>
      <c r="Y122" s="8">
        <v>347</v>
      </c>
      <c r="Z122" s="5">
        <f t="shared" si="20"/>
        <v>1832</v>
      </c>
      <c r="AA122" s="15">
        <v>2020</v>
      </c>
    </row>
    <row r="123" spans="1:30" ht="45" x14ac:dyDescent="0.25">
      <c r="A123" s="71" t="s">
        <v>23</v>
      </c>
      <c r="B123" s="71" t="s">
        <v>23</v>
      </c>
      <c r="C123" s="71" t="s">
        <v>30</v>
      </c>
      <c r="D123" s="71" t="s">
        <v>23</v>
      </c>
      <c r="E123" s="71" t="s">
        <v>33</v>
      </c>
      <c r="F123" s="71" t="s">
        <v>23</v>
      </c>
      <c r="G123" s="71" t="s">
        <v>32</v>
      </c>
      <c r="H123" s="71" t="s">
        <v>23</v>
      </c>
      <c r="I123" s="71" t="s">
        <v>31</v>
      </c>
      <c r="J123" s="71" t="s">
        <v>24</v>
      </c>
      <c r="K123" s="71" t="s">
        <v>23</v>
      </c>
      <c r="L123" s="71" t="s">
        <v>34</v>
      </c>
      <c r="M123" s="71" t="s">
        <v>23</v>
      </c>
      <c r="N123" s="71" t="s">
        <v>23</v>
      </c>
      <c r="O123" s="71" t="s">
        <v>23</v>
      </c>
      <c r="P123" s="71" t="s">
        <v>23</v>
      </c>
      <c r="Q123" s="71" t="s">
        <v>23</v>
      </c>
      <c r="R123" s="72" t="s">
        <v>122</v>
      </c>
      <c r="S123" s="73" t="s">
        <v>59</v>
      </c>
      <c r="T123" s="74">
        <v>1094.2</v>
      </c>
      <c r="U123" s="74">
        <f>999-129.2-441.6</f>
        <v>428.19999999999993</v>
      </c>
      <c r="V123" s="74">
        <v>700</v>
      </c>
      <c r="W123" s="74">
        <v>200</v>
      </c>
      <c r="X123" s="74">
        <v>200</v>
      </c>
      <c r="Y123" s="74">
        <v>200</v>
      </c>
      <c r="Z123" s="75">
        <f t="shared" si="20"/>
        <v>2822.4</v>
      </c>
      <c r="AA123" s="73">
        <v>2020</v>
      </c>
    </row>
    <row r="124" spans="1:30" ht="30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17" t="s">
        <v>127</v>
      </c>
      <c r="S124" s="15" t="s">
        <v>28</v>
      </c>
      <c r="T124" s="8">
        <f>1944-909</f>
        <v>1035</v>
      </c>
      <c r="U124" s="8">
        <v>1000</v>
      </c>
      <c r="V124" s="8">
        <v>2070</v>
      </c>
      <c r="W124" s="8">
        <v>100</v>
      </c>
      <c r="X124" s="8">
        <v>1686</v>
      </c>
      <c r="Y124" s="8">
        <v>1686</v>
      </c>
      <c r="Z124" s="5">
        <f t="shared" si="20"/>
        <v>7577</v>
      </c>
      <c r="AA124" s="15">
        <v>2020</v>
      </c>
    </row>
    <row r="125" spans="1:30" ht="30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17" t="s">
        <v>128</v>
      </c>
      <c r="S125" s="15" t="s">
        <v>28</v>
      </c>
      <c r="T125" s="8">
        <v>250</v>
      </c>
      <c r="U125" s="8">
        <v>280</v>
      </c>
      <c r="V125" s="8">
        <v>270</v>
      </c>
      <c r="W125" s="8">
        <v>270</v>
      </c>
      <c r="X125" s="8">
        <v>270</v>
      </c>
      <c r="Y125" s="8">
        <v>270</v>
      </c>
      <c r="Z125" s="5">
        <f t="shared" si="20"/>
        <v>1610</v>
      </c>
      <c r="AA125" s="15">
        <v>2020</v>
      </c>
    </row>
    <row r="126" spans="1:30" ht="45" x14ac:dyDescent="0.25">
      <c r="A126" s="71" t="s">
        <v>23</v>
      </c>
      <c r="B126" s="71" t="s">
        <v>24</v>
      </c>
      <c r="C126" s="71" t="s">
        <v>25</v>
      </c>
      <c r="D126" s="71" t="s">
        <v>23</v>
      </c>
      <c r="E126" s="71" t="s">
        <v>33</v>
      </c>
      <c r="F126" s="71" t="s">
        <v>23</v>
      </c>
      <c r="G126" s="71" t="s">
        <v>32</v>
      </c>
      <c r="H126" s="71" t="s">
        <v>23</v>
      </c>
      <c r="I126" s="71" t="s">
        <v>31</v>
      </c>
      <c r="J126" s="71" t="s">
        <v>24</v>
      </c>
      <c r="K126" s="71" t="s">
        <v>23</v>
      </c>
      <c r="L126" s="71" t="s">
        <v>34</v>
      </c>
      <c r="M126" s="71" t="s">
        <v>23</v>
      </c>
      <c r="N126" s="71" t="s">
        <v>23</v>
      </c>
      <c r="O126" s="71" t="s">
        <v>23</v>
      </c>
      <c r="P126" s="71" t="s">
        <v>23</v>
      </c>
      <c r="Q126" s="71" t="s">
        <v>23</v>
      </c>
      <c r="R126" s="72" t="s">
        <v>122</v>
      </c>
      <c r="S126" s="73" t="s">
        <v>59</v>
      </c>
      <c r="T126" s="74">
        <f>30482.9-20300-474-264</f>
        <v>9444.9000000000015</v>
      </c>
      <c r="U126" s="74">
        <f>9173.4+420.3+1284.7+993.1-41.7</f>
        <v>11829.8</v>
      </c>
      <c r="V126" s="74">
        <f>19658.1-40</f>
        <v>19618.099999999999</v>
      </c>
      <c r="W126" s="74">
        <v>19658.099999999999</v>
      </c>
      <c r="X126" s="74">
        <v>19658.099999999999</v>
      </c>
      <c r="Y126" s="74">
        <v>19658.099999999999</v>
      </c>
      <c r="Z126" s="75">
        <f t="shared" si="20"/>
        <v>99867.1</v>
      </c>
      <c r="AA126" s="73">
        <v>2020</v>
      </c>
      <c r="AB126" s="48" t="s">
        <v>219</v>
      </c>
    </row>
    <row r="127" spans="1:30" s="1" customFormat="1" ht="45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7" t="s">
        <v>129</v>
      </c>
      <c r="S127" s="15" t="s">
        <v>75</v>
      </c>
      <c r="T127" s="8">
        <v>1689.3</v>
      </c>
      <c r="U127" s="8">
        <v>2883.7</v>
      </c>
      <c r="V127" s="8">
        <v>2987.6</v>
      </c>
      <c r="W127" s="8">
        <v>2987.6</v>
      </c>
      <c r="X127" s="8">
        <v>2987.6</v>
      </c>
      <c r="Y127" s="8">
        <v>2987.6</v>
      </c>
      <c r="Z127" s="5">
        <f>(T127+U127+V127+W127+X127+Y127)</f>
        <v>16523.400000000001</v>
      </c>
      <c r="AA127" s="15">
        <v>2020</v>
      </c>
      <c r="AB127" s="48"/>
      <c r="AC127" s="48"/>
      <c r="AD127" s="48"/>
    </row>
    <row r="128" spans="1:30" ht="45" x14ac:dyDescent="0.25">
      <c r="A128" s="71" t="s">
        <v>23</v>
      </c>
      <c r="B128" s="71" t="s">
        <v>24</v>
      </c>
      <c r="C128" s="71" t="s">
        <v>25</v>
      </c>
      <c r="D128" s="71" t="s">
        <v>23</v>
      </c>
      <c r="E128" s="71" t="s">
        <v>33</v>
      </c>
      <c r="F128" s="71" t="s">
        <v>23</v>
      </c>
      <c r="G128" s="71" t="s">
        <v>32</v>
      </c>
      <c r="H128" s="71" t="s">
        <v>23</v>
      </c>
      <c r="I128" s="71" t="s">
        <v>31</v>
      </c>
      <c r="J128" s="71" t="s">
        <v>24</v>
      </c>
      <c r="K128" s="71" t="s">
        <v>23</v>
      </c>
      <c r="L128" s="71" t="s">
        <v>34</v>
      </c>
      <c r="M128" s="71" t="s">
        <v>23</v>
      </c>
      <c r="N128" s="71" t="s">
        <v>23</v>
      </c>
      <c r="O128" s="71" t="s">
        <v>23</v>
      </c>
      <c r="P128" s="71" t="s">
        <v>23</v>
      </c>
      <c r="Q128" s="71" t="s">
        <v>23</v>
      </c>
      <c r="R128" s="72" t="s">
        <v>130</v>
      </c>
      <c r="S128" s="73" t="s">
        <v>59</v>
      </c>
      <c r="T128" s="75">
        <v>919</v>
      </c>
      <c r="U128" s="75">
        <f>1250+185-125</f>
        <v>1310</v>
      </c>
      <c r="V128" s="75">
        <f>1000+40+20</f>
        <v>1060</v>
      </c>
      <c r="W128" s="75">
        <v>800</v>
      </c>
      <c r="X128" s="75">
        <v>800</v>
      </c>
      <c r="Y128" s="75">
        <v>600</v>
      </c>
      <c r="Z128" s="75">
        <f t="shared" si="20"/>
        <v>5489</v>
      </c>
      <c r="AA128" s="73">
        <v>2020</v>
      </c>
      <c r="AB128" s="48" t="s">
        <v>240</v>
      </c>
    </row>
    <row r="129" spans="1:32" s="22" customFormat="1" ht="30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17" t="s">
        <v>131</v>
      </c>
      <c r="S129" s="15" t="s">
        <v>55</v>
      </c>
      <c r="T129" s="18">
        <v>70</v>
      </c>
      <c r="U129" s="18">
        <v>75</v>
      </c>
      <c r="V129" s="18">
        <v>85</v>
      </c>
      <c r="W129" s="18">
        <v>60</v>
      </c>
      <c r="X129" s="18">
        <v>60</v>
      </c>
      <c r="Y129" s="18">
        <v>60</v>
      </c>
      <c r="Z129" s="6">
        <f t="shared" si="20"/>
        <v>410</v>
      </c>
      <c r="AA129" s="15">
        <v>2020</v>
      </c>
      <c r="AB129" s="48"/>
      <c r="AC129" s="48"/>
      <c r="AD129" s="48"/>
      <c r="AE129" s="1"/>
      <c r="AF129" s="1"/>
    </row>
    <row r="130" spans="1:32" s="22" customFormat="1" ht="30" x14ac:dyDescent="0.25">
      <c r="A130" s="71" t="s">
        <v>23</v>
      </c>
      <c r="B130" s="71" t="s">
        <v>23</v>
      </c>
      <c r="C130" s="71" t="s">
        <v>39</v>
      </c>
      <c r="D130" s="71" t="s">
        <v>23</v>
      </c>
      <c r="E130" s="71" t="s">
        <v>33</v>
      </c>
      <c r="F130" s="71" t="s">
        <v>23</v>
      </c>
      <c r="G130" s="71" t="s">
        <v>32</v>
      </c>
      <c r="H130" s="71" t="s">
        <v>23</v>
      </c>
      <c r="I130" s="71" t="s">
        <v>31</v>
      </c>
      <c r="J130" s="71" t="s">
        <v>24</v>
      </c>
      <c r="K130" s="71" t="s">
        <v>23</v>
      </c>
      <c r="L130" s="71" t="s">
        <v>34</v>
      </c>
      <c r="M130" s="71" t="s">
        <v>23</v>
      </c>
      <c r="N130" s="71" t="s">
        <v>23</v>
      </c>
      <c r="O130" s="71" t="s">
        <v>23</v>
      </c>
      <c r="P130" s="71" t="s">
        <v>23</v>
      </c>
      <c r="Q130" s="71" t="s">
        <v>23</v>
      </c>
      <c r="R130" s="72" t="s">
        <v>190</v>
      </c>
      <c r="S130" s="73" t="s">
        <v>59</v>
      </c>
      <c r="T130" s="74"/>
      <c r="U130" s="75">
        <f>9884-2300-17.4</f>
        <v>7566.6</v>
      </c>
      <c r="V130" s="74"/>
      <c r="W130" s="74"/>
      <c r="X130" s="74"/>
      <c r="Y130" s="74"/>
      <c r="Z130" s="75">
        <f t="shared" ref="Z130:Z131" si="23">T130+U130+V130+W130+X130+Y130</f>
        <v>7566.6</v>
      </c>
      <c r="AA130" s="73">
        <v>2016</v>
      </c>
      <c r="AB130" s="48"/>
      <c r="AC130" s="48"/>
      <c r="AD130" s="48"/>
      <c r="AE130" s="1"/>
      <c r="AF130" s="1"/>
    </row>
    <row r="131" spans="1:32" s="22" customFormat="1" ht="30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17" t="s">
        <v>207</v>
      </c>
      <c r="S131" s="15" t="s">
        <v>54</v>
      </c>
      <c r="T131" s="18"/>
      <c r="U131" s="18">
        <v>47</v>
      </c>
      <c r="V131" s="18"/>
      <c r="W131" s="18"/>
      <c r="X131" s="18"/>
      <c r="Y131" s="18"/>
      <c r="Z131" s="6">
        <f t="shared" si="23"/>
        <v>47</v>
      </c>
      <c r="AA131" s="15">
        <v>2016</v>
      </c>
      <c r="AB131" s="48"/>
      <c r="AC131" s="48"/>
      <c r="AD131" s="48"/>
      <c r="AE131" s="1"/>
      <c r="AF131" s="1"/>
    </row>
    <row r="132" spans="1:32" s="22" customFormat="1" ht="75" x14ac:dyDescent="0.25">
      <c r="A132" s="71" t="s">
        <v>23</v>
      </c>
      <c r="B132" s="71" t="s">
        <v>24</v>
      </c>
      <c r="C132" s="71" t="s">
        <v>25</v>
      </c>
      <c r="D132" s="71" t="s">
        <v>23</v>
      </c>
      <c r="E132" s="71" t="s">
        <v>33</v>
      </c>
      <c r="F132" s="71" t="s">
        <v>23</v>
      </c>
      <c r="G132" s="71" t="s">
        <v>32</v>
      </c>
      <c r="H132" s="71" t="s">
        <v>23</v>
      </c>
      <c r="I132" s="71" t="s">
        <v>31</v>
      </c>
      <c r="J132" s="71" t="s">
        <v>24</v>
      </c>
      <c r="K132" s="71" t="s">
        <v>23</v>
      </c>
      <c r="L132" s="71" t="s">
        <v>34</v>
      </c>
      <c r="M132" s="71" t="s">
        <v>23</v>
      </c>
      <c r="N132" s="71" t="s">
        <v>23</v>
      </c>
      <c r="O132" s="71" t="s">
        <v>23</v>
      </c>
      <c r="P132" s="71" t="s">
        <v>23</v>
      </c>
      <c r="Q132" s="71" t="s">
        <v>23</v>
      </c>
      <c r="R132" s="72" t="s">
        <v>208</v>
      </c>
      <c r="S132" s="73" t="s">
        <v>59</v>
      </c>
      <c r="T132" s="74"/>
      <c r="U132" s="75">
        <v>76158.5</v>
      </c>
      <c r="V132" s="74"/>
      <c r="W132" s="74"/>
      <c r="X132" s="74"/>
      <c r="Y132" s="74"/>
      <c r="Z132" s="75">
        <f t="shared" ref="Z132" si="24">T132+U132+V132+W132+X132+Y132</f>
        <v>76158.5</v>
      </c>
      <c r="AA132" s="73">
        <v>2016</v>
      </c>
      <c r="AB132" s="48"/>
      <c r="AC132" s="48"/>
      <c r="AD132" s="48"/>
      <c r="AE132" s="1"/>
      <c r="AF132" s="1"/>
    </row>
    <row r="133" spans="1:32" s="22" customFormat="1" ht="30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17" t="s">
        <v>142</v>
      </c>
      <c r="S133" s="15" t="s">
        <v>10</v>
      </c>
      <c r="T133" s="21"/>
      <c r="U133" s="21">
        <v>100</v>
      </c>
      <c r="V133" s="21"/>
      <c r="W133" s="21"/>
      <c r="X133" s="21"/>
      <c r="Y133" s="21"/>
      <c r="Z133" s="6">
        <v>100</v>
      </c>
      <c r="AA133" s="15">
        <v>2016</v>
      </c>
      <c r="AB133" s="48"/>
      <c r="AC133" s="48"/>
      <c r="AD133" s="48"/>
      <c r="AE133" s="1"/>
      <c r="AF133" s="1"/>
    </row>
    <row r="134" spans="1:32" ht="42.75" x14ac:dyDescent="0.25">
      <c r="A134" s="63" t="s">
        <v>23</v>
      </c>
      <c r="B134" s="63" t="s">
        <v>23</v>
      </c>
      <c r="C134" s="63" t="s">
        <v>23</v>
      </c>
      <c r="D134" s="63" t="s">
        <v>23</v>
      </c>
      <c r="E134" s="63" t="s">
        <v>33</v>
      </c>
      <c r="F134" s="63" t="s">
        <v>23</v>
      </c>
      <c r="G134" s="63" t="s">
        <v>32</v>
      </c>
      <c r="H134" s="63" t="s">
        <v>23</v>
      </c>
      <c r="I134" s="63" t="s">
        <v>31</v>
      </c>
      <c r="J134" s="63" t="s">
        <v>24</v>
      </c>
      <c r="K134" s="63" t="s">
        <v>23</v>
      </c>
      <c r="L134" s="63" t="s">
        <v>33</v>
      </c>
      <c r="M134" s="63" t="s">
        <v>23</v>
      </c>
      <c r="N134" s="63" t="s">
        <v>23</v>
      </c>
      <c r="O134" s="63" t="s">
        <v>23</v>
      </c>
      <c r="P134" s="63" t="s">
        <v>23</v>
      </c>
      <c r="Q134" s="63" t="s">
        <v>23</v>
      </c>
      <c r="R134" s="64" t="s">
        <v>40</v>
      </c>
      <c r="S134" s="28" t="s">
        <v>59</v>
      </c>
      <c r="T134" s="16">
        <f>T136</f>
        <v>92414.1</v>
      </c>
      <c r="U134" s="16">
        <f>U136+U163+U167+U171</f>
        <v>25403.1</v>
      </c>
      <c r="V134" s="16">
        <f>V136+V175+V177+V182+V187+V192+V197+V202+V207+V213+V219+V225+V230+V235+V240</f>
        <v>64085.200000000012</v>
      </c>
      <c r="W134" s="16">
        <f>W136</f>
        <v>7600</v>
      </c>
      <c r="X134" s="16">
        <f>X136</f>
        <v>9000</v>
      </c>
      <c r="Y134" s="16">
        <f>Y136</f>
        <v>9000</v>
      </c>
      <c r="Z134" s="16">
        <f t="shared" si="20"/>
        <v>207502.40000000002</v>
      </c>
      <c r="AA134" s="28">
        <v>2020</v>
      </c>
    </row>
    <row r="135" spans="1:32" ht="44.25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39" t="s">
        <v>132</v>
      </c>
      <c r="S135" s="15" t="s">
        <v>60</v>
      </c>
      <c r="T135" s="8">
        <f>T145+T150+T155+T160</f>
        <v>58.2</v>
      </c>
      <c r="U135" s="8">
        <f>U140+U166+(U170/1000)+(873.3/1000)</f>
        <v>27.765300000000003</v>
      </c>
      <c r="V135" s="8">
        <f>V140+V166+V170+V174+V176+V181+V186+V191+V196+V201+V206+V212+V218+V224+V234+V239+V244</f>
        <v>121.43999999999998</v>
      </c>
      <c r="W135" s="8">
        <f>W140+W166+W170+W174</f>
        <v>4</v>
      </c>
      <c r="X135" s="8">
        <f>X140+X166+X170+X174</f>
        <v>10.5</v>
      </c>
      <c r="Y135" s="8">
        <f>Y140+Y166+Y170+Y174</f>
        <v>10.5</v>
      </c>
      <c r="Z135" s="5">
        <f t="shared" si="20"/>
        <v>232.40530000000001</v>
      </c>
      <c r="AA135" s="15">
        <v>2020</v>
      </c>
    </row>
    <row r="136" spans="1:32" ht="59.25" x14ac:dyDescent="0.25">
      <c r="A136" s="71"/>
      <c r="B136" s="71"/>
      <c r="C136" s="71"/>
      <c r="D136" s="71" t="s">
        <v>23</v>
      </c>
      <c r="E136" s="71" t="s">
        <v>33</v>
      </c>
      <c r="F136" s="71" t="s">
        <v>23</v>
      </c>
      <c r="G136" s="71" t="s">
        <v>32</v>
      </c>
      <c r="H136" s="71" t="s">
        <v>23</v>
      </c>
      <c r="I136" s="71" t="s">
        <v>31</v>
      </c>
      <c r="J136" s="71" t="s">
        <v>24</v>
      </c>
      <c r="K136" s="71" t="s">
        <v>23</v>
      </c>
      <c r="L136" s="71" t="s">
        <v>23</v>
      </c>
      <c r="M136" s="71" t="s">
        <v>23</v>
      </c>
      <c r="N136" s="71" t="s">
        <v>23</v>
      </c>
      <c r="O136" s="71" t="s">
        <v>23</v>
      </c>
      <c r="P136" s="71" t="s">
        <v>23</v>
      </c>
      <c r="Q136" s="71" t="s">
        <v>23</v>
      </c>
      <c r="R136" s="76" t="s">
        <v>191</v>
      </c>
      <c r="S136" s="73" t="s">
        <v>59</v>
      </c>
      <c r="T136" s="75">
        <f t="shared" ref="T136:Y136" si="25">T137+T138</f>
        <v>92414.1</v>
      </c>
      <c r="U136" s="75">
        <f t="shared" si="25"/>
        <v>22928.899999999998</v>
      </c>
      <c r="V136" s="75">
        <f>V137+V138+V139</f>
        <v>51405.1</v>
      </c>
      <c r="W136" s="75">
        <f t="shared" si="25"/>
        <v>7600</v>
      </c>
      <c r="X136" s="75">
        <f t="shared" si="25"/>
        <v>9000</v>
      </c>
      <c r="Y136" s="75">
        <f t="shared" si="25"/>
        <v>9000</v>
      </c>
      <c r="Z136" s="75">
        <f t="shared" si="20"/>
        <v>192348.1</v>
      </c>
      <c r="AA136" s="73">
        <v>2020</v>
      </c>
    </row>
    <row r="137" spans="1:32" ht="60" x14ac:dyDescent="0.25">
      <c r="A137" s="71"/>
      <c r="B137" s="71"/>
      <c r="C137" s="71"/>
      <c r="D137" s="71" t="s">
        <v>23</v>
      </c>
      <c r="E137" s="71" t="s">
        <v>33</v>
      </c>
      <c r="F137" s="71" t="s">
        <v>23</v>
      </c>
      <c r="G137" s="71" t="s">
        <v>32</v>
      </c>
      <c r="H137" s="71" t="s">
        <v>23</v>
      </c>
      <c r="I137" s="71" t="s">
        <v>31</v>
      </c>
      <c r="J137" s="71" t="s">
        <v>24</v>
      </c>
      <c r="K137" s="71" t="s">
        <v>23</v>
      </c>
      <c r="L137" s="71" t="s">
        <v>33</v>
      </c>
      <c r="M137" s="71" t="s">
        <v>23</v>
      </c>
      <c r="N137" s="71" t="s">
        <v>23</v>
      </c>
      <c r="O137" s="71" t="s">
        <v>23</v>
      </c>
      <c r="P137" s="71" t="s">
        <v>23</v>
      </c>
      <c r="Q137" s="71" t="s">
        <v>23</v>
      </c>
      <c r="R137" s="72" t="s">
        <v>133</v>
      </c>
      <c r="S137" s="73" t="s">
        <v>59</v>
      </c>
      <c r="T137" s="75">
        <f t="shared" ref="T137:Y137" si="26">T142+T147+T152+T157</f>
        <v>51768.5</v>
      </c>
      <c r="U137" s="75">
        <f t="shared" si="26"/>
        <v>22928.899999999998</v>
      </c>
      <c r="V137" s="75">
        <f t="shared" si="26"/>
        <v>4705.1000000000004</v>
      </c>
      <c r="W137" s="75">
        <f t="shared" si="26"/>
        <v>7600</v>
      </c>
      <c r="X137" s="75">
        <f t="shared" si="26"/>
        <v>9000</v>
      </c>
      <c r="Y137" s="75">
        <f t="shared" si="26"/>
        <v>9000</v>
      </c>
      <c r="Z137" s="75">
        <f>T137+U137+V137+W137+X137+Y137</f>
        <v>105002.5</v>
      </c>
      <c r="AA137" s="73">
        <v>2020</v>
      </c>
    </row>
    <row r="138" spans="1:32" ht="60" x14ac:dyDescent="0.25">
      <c r="A138" s="71"/>
      <c r="B138" s="71"/>
      <c r="C138" s="71"/>
      <c r="D138" s="71" t="s">
        <v>23</v>
      </c>
      <c r="E138" s="71" t="s">
        <v>33</v>
      </c>
      <c r="F138" s="71" t="s">
        <v>23</v>
      </c>
      <c r="G138" s="71" t="s">
        <v>32</v>
      </c>
      <c r="H138" s="71" t="s">
        <v>23</v>
      </c>
      <c r="I138" s="71" t="s">
        <v>31</v>
      </c>
      <c r="J138" s="71" t="s">
        <v>24</v>
      </c>
      <c r="K138" s="71" t="s">
        <v>39</v>
      </c>
      <c r="L138" s="71" t="s">
        <v>35</v>
      </c>
      <c r="M138" s="71" t="s">
        <v>24</v>
      </c>
      <c r="N138" s="71" t="s">
        <v>24</v>
      </c>
      <c r="O138" s="71"/>
      <c r="P138" s="71"/>
      <c r="Q138" s="71"/>
      <c r="R138" s="72" t="s">
        <v>133</v>
      </c>
      <c r="S138" s="73" t="s">
        <v>59</v>
      </c>
      <c r="T138" s="75">
        <f>T143+T148+T153+T158</f>
        <v>40645.600000000006</v>
      </c>
      <c r="U138" s="75"/>
      <c r="V138" s="75"/>
      <c r="W138" s="75"/>
      <c r="X138" s="75"/>
      <c r="Y138" s="75"/>
      <c r="Z138" s="75">
        <f>Z143+Z148+Z153+Z158</f>
        <v>40645.600000000006</v>
      </c>
      <c r="AA138" s="73">
        <v>2015</v>
      </c>
    </row>
    <row r="139" spans="1:32" ht="60" x14ac:dyDescent="0.25">
      <c r="A139" s="71"/>
      <c r="B139" s="71"/>
      <c r="C139" s="71"/>
      <c r="D139" s="71" t="s">
        <v>23</v>
      </c>
      <c r="E139" s="71" t="s">
        <v>33</v>
      </c>
      <c r="F139" s="71" t="s">
        <v>23</v>
      </c>
      <c r="G139" s="71" t="s">
        <v>32</v>
      </c>
      <c r="H139" s="71" t="s">
        <v>23</v>
      </c>
      <c r="I139" s="71" t="s">
        <v>31</v>
      </c>
      <c r="J139" s="71" t="s">
        <v>24</v>
      </c>
      <c r="K139" s="71" t="s">
        <v>23</v>
      </c>
      <c r="L139" s="71" t="s">
        <v>33</v>
      </c>
      <c r="M139" s="71" t="s">
        <v>180</v>
      </c>
      <c r="N139" s="71" t="s">
        <v>23</v>
      </c>
      <c r="O139" s="71" t="s">
        <v>25</v>
      </c>
      <c r="P139" s="71" t="s">
        <v>24</v>
      </c>
      <c r="Q139" s="71" t="s">
        <v>210</v>
      </c>
      <c r="R139" s="72" t="s">
        <v>133</v>
      </c>
      <c r="S139" s="73" t="s">
        <v>59</v>
      </c>
      <c r="T139" s="75"/>
      <c r="U139" s="75"/>
      <c r="V139" s="75">
        <f>V144+V149+V154+V159</f>
        <v>46700</v>
      </c>
      <c r="W139" s="75"/>
      <c r="X139" s="75"/>
      <c r="Y139" s="75"/>
      <c r="Z139" s="75">
        <f>V139</f>
        <v>46700</v>
      </c>
      <c r="AA139" s="73">
        <v>2017</v>
      </c>
    </row>
    <row r="140" spans="1:32" ht="60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17" t="s">
        <v>134</v>
      </c>
      <c r="S140" s="15" t="s">
        <v>60</v>
      </c>
      <c r="T140" s="8">
        <f>T145+T150+T155+T160</f>
        <v>58.2</v>
      </c>
      <c r="U140" s="8">
        <f>U145+U150+U155+U160</f>
        <v>25.200000000000003</v>
      </c>
      <c r="V140" s="8">
        <f>V145+V150+V155+V160</f>
        <v>112.19999999999999</v>
      </c>
      <c r="W140" s="8">
        <f>W145+W150+W155+W160</f>
        <v>4</v>
      </c>
      <c r="X140" s="8">
        <f>X145+X150+X155+X160</f>
        <v>10.5</v>
      </c>
      <c r="Y140" s="8">
        <f>Y145+Y150+Y155+Y160</f>
        <v>10.5</v>
      </c>
      <c r="Z140" s="5">
        <f t="shared" si="20"/>
        <v>220.6</v>
      </c>
      <c r="AA140" s="15">
        <v>2020</v>
      </c>
    </row>
    <row r="141" spans="1:32" ht="60" x14ac:dyDescent="0.25">
      <c r="A141" s="71" t="s">
        <v>23</v>
      </c>
      <c r="B141" s="71" t="s">
        <v>23</v>
      </c>
      <c r="C141" s="71" t="s">
        <v>34</v>
      </c>
      <c r="D141" s="71" t="s">
        <v>23</v>
      </c>
      <c r="E141" s="71" t="s">
        <v>33</v>
      </c>
      <c r="F141" s="71" t="s">
        <v>23</v>
      </c>
      <c r="G141" s="71" t="s">
        <v>32</v>
      </c>
      <c r="H141" s="71" t="s">
        <v>23</v>
      </c>
      <c r="I141" s="71" t="s">
        <v>31</v>
      </c>
      <c r="J141" s="71" t="s">
        <v>24</v>
      </c>
      <c r="K141" s="71" t="s">
        <v>23</v>
      </c>
      <c r="L141" s="71" t="s">
        <v>23</v>
      </c>
      <c r="M141" s="71" t="s">
        <v>23</v>
      </c>
      <c r="N141" s="71" t="s">
        <v>23</v>
      </c>
      <c r="O141" s="71" t="s">
        <v>23</v>
      </c>
      <c r="P141" s="71" t="s">
        <v>23</v>
      </c>
      <c r="Q141" s="71" t="s">
        <v>23</v>
      </c>
      <c r="R141" s="72" t="s">
        <v>133</v>
      </c>
      <c r="S141" s="73" t="s">
        <v>59</v>
      </c>
      <c r="T141" s="75">
        <f t="shared" ref="T141:Y141" si="27">T142+T143</f>
        <v>25150</v>
      </c>
      <c r="U141" s="75">
        <f t="shared" si="27"/>
        <v>6049.5999999999995</v>
      </c>
      <c r="V141" s="75">
        <f>V142+V144</f>
        <v>16771.5</v>
      </c>
      <c r="W141" s="75">
        <f t="shared" si="27"/>
        <v>1900</v>
      </c>
      <c r="X141" s="75">
        <f t="shared" si="27"/>
        <v>2250</v>
      </c>
      <c r="Y141" s="75">
        <f t="shared" si="27"/>
        <v>2250</v>
      </c>
      <c r="Z141" s="75">
        <f t="shared" si="20"/>
        <v>54371.1</v>
      </c>
      <c r="AA141" s="73">
        <v>2020</v>
      </c>
    </row>
    <row r="142" spans="1:32" ht="60" x14ac:dyDescent="0.25">
      <c r="A142" s="71" t="s">
        <v>23</v>
      </c>
      <c r="B142" s="71" t="s">
        <v>23</v>
      </c>
      <c r="C142" s="71" t="s">
        <v>34</v>
      </c>
      <c r="D142" s="71" t="s">
        <v>23</v>
      </c>
      <c r="E142" s="71" t="s">
        <v>33</v>
      </c>
      <c r="F142" s="71" t="s">
        <v>23</v>
      </c>
      <c r="G142" s="71" t="s">
        <v>32</v>
      </c>
      <c r="H142" s="71" t="s">
        <v>23</v>
      </c>
      <c r="I142" s="71" t="s">
        <v>31</v>
      </c>
      <c r="J142" s="71" t="s">
        <v>24</v>
      </c>
      <c r="K142" s="71" t="s">
        <v>23</v>
      </c>
      <c r="L142" s="71" t="s">
        <v>33</v>
      </c>
      <c r="M142" s="71" t="s">
        <v>23</v>
      </c>
      <c r="N142" s="71" t="s">
        <v>23</v>
      </c>
      <c r="O142" s="71" t="s">
        <v>23</v>
      </c>
      <c r="P142" s="71" t="s">
        <v>23</v>
      </c>
      <c r="Q142" s="71" t="s">
        <v>23</v>
      </c>
      <c r="R142" s="72" t="s">
        <v>133</v>
      </c>
      <c r="S142" s="73" t="s">
        <v>59</v>
      </c>
      <c r="T142" s="74">
        <v>13054.7</v>
      </c>
      <c r="U142" s="74">
        <f>8000-1708+246.5-273.3-215.6</f>
        <v>6049.5999999999995</v>
      </c>
      <c r="V142" s="74">
        <f>5000-3619.5</f>
        <v>1380.5</v>
      </c>
      <c r="W142" s="74">
        <v>1900</v>
      </c>
      <c r="X142" s="74">
        <v>2250</v>
      </c>
      <c r="Y142" s="74">
        <v>2250</v>
      </c>
      <c r="Z142" s="75">
        <f t="shared" si="20"/>
        <v>26884.799999999999</v>
      </c>
      <c r="AA142" s="73">
        <v>2020</v>
      </c>
      <c r="AB142" s="47"/>
    </row>
    <row r="143" spans="1:32" ht="60" x14ac:dyDescent="0.25">
      <c r="A143" s="71" t="s">
        <v>23</v>
      </c>
      <c r="B143" s="71" t="s">
        <v>23</v>
      </c>
      <c r="C143" s="71" t="s">
        <v>34</v>
      </c>
      <c r="D143" s="71" t="s">
        <v>23</v>
      </c>
      <c r="E143" s="71" t="s">
        <v>33</v>
      </c>
      <c r="F143" s="71" t="s">
        <v>23</v>
      </c>
      <c r="G143" s="71" t="s">
        <v>32</v>
      </c>
      <c r="H143" s="71" t="s">
        <v>23</v>
      </c>
      <c r="I143" s="71" t="s">
        <v>31</v>
      </c>
      <c r="J143" s="71" t="s">
        <v>24</v>
      </c>
      <c r="K143" s="71" t="s">
        <v>39</v>
      </c>
      <c r="L143" s="71" t="s">
        <v>35</v>
      </c>
      <c r="M143" s="71" t="s">
        <v>24</v>
      </c>
      <c r="N143" s="71" t="s">
        <v>24</v>
      </c>
      <c r="O143" s="71"/>
      <c r="P143" s="71"/>
      <c r="Q143" s="71"/>
      <c r="R143" s="72" t="s">
        <v>133</v>
      </c>
      <c r="S143" s="73" t="s">
        <v>59</v>
      </c>
      <c r="T143" s="74">
        <v>12095.3</v>
      </c>
      <c r="U143" s="74"/>
      <c r="V143" s="74"/>
      <c r="W143" s="74"/>
      <c r="X143" s="74"/>
      <c r="Y143" s="74"/>
      <c r="Z143" s="75">
        <f t="shared" si="20"/>
        <v>12095.3</v>
      </c>
      <c r="AA143" s="73">
        <v>2015</v>
      </c>
      <c r="AB143" s="47"/>
    </row>
    <row r="144" spans="1:32" s="78" customFormat="1" ht="60" x14ac:dyDescent="0.25">
      <c r="A144" s="102" t="s">
        <v>23</v>
      </c>
      <c r="B144" s="102" t="s">
        <v>23</v>
      </c>
      <c r="C144" s="102" t="s">
        <v>34</v>
      </c>
      <c r="D144" s="102" t="s">
        <v>23</v>
      </c>
      <c r="E144" s="102" t="s">
        <v>33</v>
      </c>
      <c r="F144" s="71" t="s">
        <v>23</v>
      </c>
      <c r="G144" s="71" t="s">
        <v>32</v>
      </c>
      <c r="H144" s="71" t="s">
        <v>23</v>
      </c>
      <c r="I144" s="71" t="s">
        <v>31</v>
      </c>
      <c r="J144" s="71" t="s">
        <v>24</v>
      </c>
      <c r="K144" s="71" t="s">
        <v>23</v>
      </c>
      <c r="L144" s="71" t="s">
        <v>33</v>
      </c>
      <c r="M144" s="71" t="s">
        <v>180</v>
      </c>
      <c r="N144" s="71" t="s">
        <v>23</v>
      </c>
      <c r="O144" s="71" t="s">
        <v>25</v>
      </c>
      <c r="P144" s="71" t="s">
        <v>24</v>
      </c>
      <c r="Q144" s="71" t="s">
        <v>210</v>
      </c>
      <c r="R144" s="72" t="s">
        <v>133</v>
      </c>
      <c r="S144" s="73" t="s">
        <v>59</v>
      </c>
      <c r="T144" s="74"/>
      <c r="U144" s="74"/>
      <c r="V144" s="74">
        <v>15391</v>
      </c>
      <c r="W144" s="74"/>
      <c r="X144" s="74"/>
      <c r="Y144" s="74"/>
      <c r="Z144" s="75">
        <f>V144</f>
        <v>15391</v>
      </c>
      <c r="AA144" s="73">
        <v>2017</v>
      </c>
      <c r="AB144" s="94"/>
      <c r="AC144" s="94"/>
      <c r="AD144" s="94"/>
      <c r="AE144" s="95"/>
      <c r="AF144" s="95"/>
    </row>
    <row r="145" spans="1:32" ht="60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17" t="s">
        <v>135</v>
      </c>
      <c r="S145" s="15" t="s">
        <v>60</v>
      </c>
      <c r="T145" s="8">
        <v>15.5</v>
      </c>
      <c r="U145" s="8">
        <v>6.5</v>
      </c>
      <c r="V145" s="8">
        <v>39.700000000000003</v>
      </c>
      <c r="W145" s="8">
        <v>1</v>
      </c>
      <c r="X145" s="8">
        <v>2.9</v>
      </c>
      <c r="Y145" s="8">
        <v>2.9</v>
      </c>
      <c r="Z145" s="5">
        <f t="shared" si="20"/>
        <v>68.500000000000014</v>
      </c>
      <c r="AA145" s="15">
        <v>2020</v>
      </c>
    </row>
    <row r="146" spans="1:32" ht="60" x14ac:dyDescent="0.25">
      <c r="A146" s="71" t="s">
        <v>23</v>
      </c>
      <c r="B146" s="71" t="s">
        <v>23</v>
      </c>
      <c r="C146" s="71" t="s">
        <v>33</v>
      </c>
      <c r="D146" s="71" t="s">
        <v>23</v>
      </c>
      <c r="E146" s="71" t="s">
        <v>33</v>
      </c>
      <c r="F146" s="71" t="s">
        <v>23</v>
      </c>
      <c r="G146" s="71" t="s">
        <v>32</v>
      </c>
      <c r="H146" s="71" t="s">
        <v>23</v>
      </c>
      <c r="I146" s="71" t="s">
        <v>31</v>
      </c>
      <c r="J146" s="71" t="s">
        <v>24</v>
      </c>
      <c r="K146" s="71" t="s">
        <v>23</v>
      </c>
      <c r="L146" s="71" t="s">
        <v>23</v>
      </c>
      <c r="M146" s="71" t="s">
        <v>23</v>
      </c>
      <c r="N146" s="71" t="s">
        <v>23</v>
      </c>
      <c r="O146" s="71" t="s">
        <v>23</v>
      </c>
      <c r="P146" s="71" t="s">
        <v>23</v>
      </c>
      <c r="Q146" s="71" t="s">
        <v>23</v>
      </c>
      <c r="R146" s="72" t="s">
        <v>133</v>
      </c>
      <c r="S146" s="73" t="s">
        <v>59</v>
      </c>
      <c r="T146" s="75">
        <f>T147+T148</f>
        <v>24446.9</v>
      </c>
      <c r="U146" s="75">
        <f t="shared" ref="U146:Y146" si="28">U147+U148</f>
        <v>6266.4000000000005</v>
      </c>
      <c r="V146" s="75">
        <f>V147+V149</f>
        <v>9621.5</v>
      </c>
      <c r="W146" s="75">
        <f t="shared" si="28"/>
        <v>1900</v>
      </c>
      <c r="X146" s="75">
        <f t="shared" si="28"/>
        <v>2250</v>
      </c>
      <c r="Y146" s="75">
        <f t="shared" si="28"/>
        <v>2250</v>
      </c>
      <c r="Z146" s="75">
        <f>Z147+Z148+Z149</f>
        <v>46734.8</v>
      </c>
      <c r="AA146" s="73">
        <v>2020</v>
      </c>
    </row>
    <row r="147" spans="1:32" ht="60" x14ac:dyDescent="0.25">
      <c r="A147" s="71" t="s">
        <v>23</v>
      </c>
      <c r="B147" s="71" t="s">
        <v>23</v>
      </c>
      <c r="C147" s="71" t="s">
        <v>33</v>
      </c>
      <c r="D147" s="71" t="s">
        <v>23</v>
      </c>
      <c r="E147" s="71" t="s">
        <v>33</v>
      </c>
      <c r="F147" s="71" t="s">
        <v>23</v>
      </c>
      <c r="G147" s="71" t="s">
        <v>32</v>
      </c>
      <c r="H147" s="71" t="s">
        <v>23</v>
      </c>
      <c r="I147" s="71" t="s">
        <v>31</v>
      </c>
      <c r="J147" s="71" t="s">
        <v>24</v>
      </c>
      <c r="K147" s="71" t="s">
        <v>23</v>
      </c>
      <c r="L147" s="71" t="s">
        <v>33</v>
      </c>
      <c r="M147" s="71" t="s">
        <v>23</v>
      </c>
      <c r="N147" s="71" t="s">
        <v>23</v>
      </c>
      <c r="O147" s="71" t="s">
        <v>23</v>
      </c>
      <c r="P147" s="71" t="s">
        <v>23</v>
      </c>
      <c r="Q147" s="71" t="s">
        <v>23</v>
      </c>
      <c r="R147" s="72" t="s">
        <v>133</v>
      </c>
      <c r="S147" s="73" t="s">
        <v>59</v>
      </c>
      <c r="T147" s="74">
        <f>4500+8038.2</f>
        <v>12538.2</v>
      </c>
      <c r="U147" s="74">
        <f>8000-951+100-8.4-874.2</f>
        <v>6266.4000000000005</v>
      </c>
      <c r="V147" s="74">
        <f>5000-4244.8+296.3+27</f>
        <v>1078.4999999999998</v>
      </c>
      <c r="W147" s="74">
        <v>1900</v>
      </c>
      <c r="X147" s="74">
        <v>2250</v>
      </c>
      <c r="Y147" s="74">
        <v>2250</v>
      </c>
      <c r="Z147" s="75">
        <f t="shared" si="20"/>
        <v>26283.100000000002</v>
      </c>
      <c r="AA147" s="73">
        <v>2020</v>
      </c>
      <c r="AB147" s="48" t="s">
        <v>242</v>
      </c>
    </row>
    <row r="148" spans="1:32" ht="60" x14ac:dyDescent="0.25">
      <c r="A148" s="71" t="s">
        <v>23</v>
      </c>
      <c r="B148" s="71" t="s">
        <v>23</v>
      </c>
      <c r="C148" s="71" t="s">
        <v>33</v>
      </c>
      <c r="D148" s="71" t="s">
        <v>23</v>
      </c>
      <c r="E148" s="71" t="s">
        <v>33</v>
      </c>
      <c r="F148" s="71" t="s">
        <v>23</v>
      </c>
      <c r="G148" s="71" t="s">
        <v>32</v>
      </c>
      <c r="H148" s="71" t="s">
        <v>23</v>
      </c>
      <c r="I148" s="71" t="s">
        <v>31</v>
      </c>
      <c r="J148" s="71" t="s">
        <v>24</v>
      </c>
      <c r="K148" s="71" t="s">
        <v>39</v>
      </c>
      <c r="L148" s="71" t="s">
        <v>35</v>
      </c>
      <c r="M148" s="71" t="s">
        <v>24</v>
      </c>
      <c r="N148" s="71" t="s">
        <v>24</v>
      </c>
      <c r="O148" s="71"/>
      <c r="P148" s="71"/>
      <c r="Q148" s="71"/>
      <c r="R148" s="72" t="s">
        <v>133</v>
      </c>
      <c r="S148" s="73" t="s">
        <v>59</v>
      </c>
      <c r="T148" s="74">
        <v>11908.7</v>
      </c>
      <c r="U148" s="74"/>
      <c r="V148" s="74"/>
      <c r="W148" s="74"/>
      <c r="X148" s="74"/>
      <c r="Y148" s="74"/>
      <c r="Z148" s="75">
        <f t="shared" si="20"/>
        <v>11908.7</v>
      </c>
      <c r="AA148" s="73">
        <v>2015</v>
      </c>
    </row>
    <row r="149" spans="1:32" s="78" customFormat="1" ht="60" x14ac:dyDescent="0.25">
      <c r="A149" s="102" t="s">
        <v>23</v>
      </c>
      <c r="B149" s="102" t="s">
        <v>23</v>
      </c>
      <c r="C149" s="102" t="s">
        <v>33</v>
      </c>
      <c r="D149" s="102" t="s">
        <v>23</v>
      </c>
      <c r="E149" s="102" t="s">
        <v>33</v>
      </c>
      <c r="F149" s="71" t="s">
        <v>23</v>
      </c>
      <c r="G149" s="71" t="s">
        <v>32</v>
      </c>
      <c r="H149" s="71" t="s">
        <v>23</v>
      </c>
      <c r="I149" s="71" t="s">
        <v>31</v>
      </c>
      <c r="J149" s="71" t="s">
        <v>24</v>
      </c>
      <c r="K149" s="71" t="s">
        <v>23</v>
      </c>
      <c r="L149" s="71" t="s">
        <v>33</v>
      </c>
      <c r="M149" s="71" t="s">
        <v>180</v>
      </c>
      <c r="N149" s="71" t="s">
        <v>23</v>
      </c>
      <c r="O149" s="71" t="s">
        <v>25</v>
      </c>
      <c r="P149" s="71" t="s">
        <v>24</v>
      </c>
      <c r="Q149" s="71" t="s">
        <v>210</v>
      </c>
      <c r="R149" s="72" t="s">
        <v>133</v>
      </c>
      <c r="S149" s="73" t="s">
        <v>59</v>
      </c>
      <c r="T149" s="74"/>
      <c r="U149" s="74"/>
      <c r="V149" s="74">
        <v>8543</v>
      </c>
      <c r="W149" s="74"/>
      <c r="X149" s="74"/>
      <c r="Y149" s="74"/>
      <c r="Z149" s="75">
        <f>V149</f>
        <v>8543</v>
      </c>
      <c r="AA149" s="73">
        <v>2017</v>
      </c>
      <c r="AB149" s="94"/>
      <c r="AC149" s="94"/>
      <c r="AD149" s="94"/>
      <c r="AE149" s="95"/>
      <c r="AF149" s="95"/>
    </row>
    <row r="150" spans="1:32" ht="60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17" t="s">
        <v>136</v>
      </c>
      <c r="S150" s="15" t="s">
        <v>60</v>
      </c>
      <c r="T150" s="8">
        <f>15.5+2.1</f>
        <v>17.600000000000001</v>
      </c>
      <c r="U150" s="8">
        <v>5.7</v>
      </c>
      <c r="V150" s="8">
        <v>18.100000000000001</v>
      </c>
      <c r="W150" s="8">
        <v>1</v>
      </c>
      <c r="X150" s="8">
        <v>2.4</v>
      </c>
      <c r="Y150" s="8">
        <v>2.4</v>
      </c>
      <c r="Z150" s="5">
        <f t="shared" si="20"/>
        <v>47.2</v>
      </c>
      <c r="AA150" s="15">
        <v>2020</v>
      </c>
    </row>
    <row r="151" spans="1:32" ht="60" x14ac:dyDescent="0.25">
      <c r="A151" s="71" t="s">
        <v>23</v>
      </c>
      <c r="B151" s="71" t="s">
        <v>23</v>
      </c>
      <c r="C151" s="71" t="s">
        <v>30</v>
      </c>
      <c r="D151" s="71" t="s">
        <v>23</v>
      </c>
      <c r="E151" s="71" t="s">
        <v>33</v>
      </c>
      <c r="F151" s="71" t="s">
        <v>23</v>
      </c>
      <c r="G151" s="71" t="s">
        <v>32</v>
      </c>
      <c r="H151" s="71" t="s">
        <v>23</v>
      </c>
      <c r="I151" s="71" t="s">
        <v>31</v>
      </c>
      <c r="J151" s="71" t="s">
        <v>24</v>
      </c>
      <c r="K151" s="71" t="s">
        <v>23</v>
      </c>
      <c r="L151" s="71" t="s">
        <v>23</v>
      </c>
      <c r="M151" s="71" t="s">
        <v>23</v>
      </c>
      <c r="N151" s="71" t="s">
        <v>23</v>
      </c>
      <c r="O151" s="71" t="s">
        <v>23</v>
      </c>
      <c r="P151" s="71" t="s">
        <v>23</v>
      </c>
      <c r="Q151" s="71" t="s">
        <v>23</v>
      </c>
      <c r="R151" s="72" t="s">
        <v>133</v>
      </c>
      <c r="S151" s="73" t="s">
        <v>59</v>
      </c>
      <c r="T151" s="75">
        <f>T152+T153</f>
        <v>19965</v>
      </c>
      <c r="U151" s="75">
        <f t="shared" ref="U151:Y151" si="29">U152+U153</f>
        <v>5412.6</v>
      </c>
      <c r="V151" s="75">
        <f>V152+V154</f>
        <v>15391.3</v>
      </c>
      <c r="W151" s="75">
        <f t="shared" si="29"/>
        <v>1900</v>
      </c>
      <c r="X151" s="75">
        <f t="shared" si="29"/>
        <v>2250</v>
      </c>
      <c r="Y151" s="75">
        <f t="shared" si="29"/>
        <v>2250</v>
      </c>
      <c r="Z151" s="75">
        <f>Z152+Z153+Z154</f>
        <v>47168.9</v>
      </c>
      <c r="AA151" s="73">
        <v>2020</v>
      </c>
    </row>
    <row r="152" spans="1:32" ht="60" x14ac:dyDescent="0.25">
      <c r="A152" s="71" t="s">
        <v>23</v>
      </c>
      <c r="B152" s="71" t="s">
        <v>23</v>
      </c>
      <c r="C152" s="71" t="s">
        <v>30</v>
      </c>
      <c r="D152" s="71" t="s">
        <v>23</v>
      </c>
      <c r="E152" s="71" t="s">
        <v>33</v>
      </c>
      <c r="F152" s="71" t="s">
        <v>23</v>
      </c>
      <c r="G152" s="71" t="s">
        <v>32</v>
      </c>
      <c r="H152" s="71" t="s">
        <v>23</v>
      </c>
      <c r="I152" s="71" t="s">
        <v>31</v>
      </c>
      <c r="J152" s="71" t="s">
        <v>24</v>
      </c>
      <c r="K152" s="71" t="s">
        <v>23</v>
      </c>
      <c r="L152" s="71" t="s">
        <v>33</v>
      </c>
      <c r="M152" s="71" t="s">
        <v>23</v>
      </c>
      <c r="N152" s="71" t="s">
        <v>23</v>
      </c>
      <c r="O152" s="71" t="s">
        <v>23</v>
      </c>
      <c r="P152" s="71" t="s">
        <v>23</v>
      </c>
      <c r="Q152" s="71" t="s">
        <v>23</v>
      </c>
      <c r="R152" s="72" t="s">
        <v>133</v>
      </c>
      <c r="S152" s="73" t="s">
        <v>59</v>
      </c>
      <c r="T152" s="74">
        <f>6240+5854.1</f>
        <v>12094.1</v>
      </c>
      <c r="U152" s="74">
        <f>8000-1758-29.4-800</f>
        <v>5412.6</v>
      </c>
      <c r="V152" s="74">
        <f>5000-3810.7</f>
        <v>1189.3000000000002</v>
      </c>
      <c r="W152" s="74">
        <v>1900</v>
      </c>
      <c r="X152" s="74">
        <v>2250</v>
      </c>
      <c r="Y152" s="74">
        <v>2250</v>
      </c>
      <c r="Z152" s="75">
        <f t="shared" si="20"/>
        <v>25096</v>
      </c>
      <c r="AA152" s="73">
        <v>2020</v>
      </c>
    </row>
    <row r="153" spans="1:32" ht="60" x14ac:dyDescent="0.25">
      <c r="A153" s="71" t="s">
        <v>23</v>
      </c>
      <c r="B153" s="71" t="s">
        <v>23</v>
      </c>
      <c r="C153" s="71" t="s">
        <v>30</v>
      </c>
      <c r="D153" s="71" t="s">
        <v>23</v>
      </c>
      <c r="E153" s="71" t="s">
        <v>33</v>
      </c>
      <c r="F153" s="71" t="s">
        <v>23</v>
      </c>
      <c r="G153" s="71" t="s">
        <v>32</v>
      </c>
      <c r="H153" s="71" t="s">
        <v>23</v>
      </c>
      <c r="I153" s="71" t="s">
        <v>31</v>
      </c>
      <c r="J153" s="71" t="s">
        <v>24</v>
      </c>
      <c r="K153" s="71" t="s">
        <v>39</v>
      </c>
      <c r="L153" s="71" t="s">
        <v>35</v>
      </c>
      <c r="M153" s="71" t="s">
        <v>24</v>
      </c>
      <c r="N153" s="71" t="s">
        <v>24</v>
      </c>
      <c r="O153" s="71"/>
      <c r="P153" s="71"/>
      <c r="Q153" s="71"/>
      <c r="R153" s="72" t="s">
        <v>133</v>
      </c>
      <c r="S153" s="73" t="s">
        <v>59</v>
      </c>
      <c r="T153" s="74">
        <v>7870.9</v>
      </c>
      <c r="U153" s="74"/>
      <c r="V153" s="74"/>
      <c r="W153" s="74"/>
      <c r="X153" s="74"/>
      <c r="Y153" s="74"/>
      <c r="Z153" s="75">
        <f t="shared" si="20"/>
        <v>7870.9</v>
      </c>
      <c r="AA153" s="73">
        <v>2015</v>
      </c>
    </row>
    <row r="154" spans="1:32" s="78" customFormat="1" ht="60" x14ac:dyDescent="0.25">
      <c r="A154" s="102" t="s">
        <v>23</v>
      </c>
      <c r="B154" s="102" t="s">
        <v>23</v>
      </c>
      <c r="C154" s="102" t="s">
        <v>30</v>
      </c>
      <c r="D154" s="102" t="s">
        <v>23</v>
      </c>
      <c r="E154" s="102" t="s">
        <v>33</v>
      </c>
      <c r="F154" s="71" t="s">
        <v>23</v>
      </c>
      <c r="G154" s="71" t="s">
        <v>32</v>
      </c>
      <c r="H154" s="71" t="s">
        <v>23</v>
      </c>
      <c r="I154" s="71" t="s">
        <v>31</v>
      </c>
      <c r="J154" s="71" t="s">
        <v>24</v>
      </c>
      <c r="K154" s="71" t="s">
        <v>23</v>
      </c>
      <c r="L154" s="71" t="s">
        <v>33</v>
      </c>
      <c r="M154" s="71" t="s">
        <v>180</v>
      </c>
      <c r="N154" s="71" t="s">
        <v>23</v>
      </c>
      <c r="O154" s="71" t="s">
        <v>25</v>
      </c>
      <c r="P154" s="71" t="s">
        <v>24</v>
      </c>
      <c r="Q154" s="71" t="s">
        <v>210</v>
      </c>
      <c r="R154" s="72" t="s">
        <v>133</v>
      </c>
      <c r="S154" s="73" t="s">
        <v>59</v>
      </c>
      <c r="T154" s="74"/>
      <c r="U154" s="74"/>
      <c r="V154" s="74">
        <v>14202</v>
      </c>
      <c r="W154" s="74"/>
      <c r="X154" s="74"/>
      <c r="Y154" s="74"/>
      <c r="Z154" s="75">
        <f>V154</f>
        <v>14202</v>
      </c>
      <c r="AA154" s="73">
        <v>2017</v>
      </c>
      <c r="AB154" s="94"/>
      <c r="AC154" s="94"/>
      <c r="AD154" s="94"/>
      <c r="AE154" s="95"/>
      <c r="AF154" s="95"/>
    </row>
    <row r="155" spans="1:32" ht="60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17" t="s">
        <v>137</v>
      </c>
      <c r="S155" s="15" t="s">
        <v>60</v>
      </c>
      <c r="T155" s="8">
        <f>3.9+3.4</f>
        <v>7.3</v>
      </c>
      <c r="U155" s="8">
        <v>7.4</v>
      </c>
      <c r="V155" s="8">
        <v>33.799999999999997</v>
      </c>
      <c r="W155" s="8">
        <v>1</v>
      </c>
      <c r="X155" s="8">
        <v>3.4</v>
      </c>
      <c r="Y155" s="8">
        <v>3.4</v>
      </c>
      <c r="Z155" s="5">
        <f t="shared" si="20"/>
        <v>56.3</v>
      </c>
      <c r="AA155" s="15">
        <v>2020</v>
      </c>
    </row>
    <row r="156" spans="1:32" ht="60" x14ac:dyDescent="0.25">
      <c r="A156" s="71" t="s">
        <v>23</v>
      </c>
      <c r="B156" s="71" t="s">
        <v>23</v>
      </c>
      <c r="C156" s="71" t="s">
        <v>35</v>
      </c>
      <c r="D156" s="71" t="s">
        <v>23</v>
      </c>
      <c r="E156" s="71" t="s">
        <v>33</v>
      </c>
      <c r="F156" s="71" t="s">
        <v>23</v>
      </c>
      <c r="G156" s="71" t="s">
        <v>32</v>
      </c>
      <c r="H156" s="71" t="s">
        <v>23</v>
      </c>
      <c r="I156" s="71" t="s">
        <v>31</v>
      </c>
      <c r="J156" s="71" t="s">
        <v>24</v>
      </c>
      <c r="K156" s="71" t="s">
        <v>23</v>
      </c>
      <c r="L156" s="71" t="s">
        <v>23</v>
      </c>
      <c r="M156" s="71" t="s">
        <v>23</v>
      </c>
      <c r="N156" s="71" t="s">
        <v>23</v>
      </c>
      <c r="O156" s="71" t="s">
        <v>23</v>
      </c>
      <c r="P156" s="71" t="s">
        <v>23</v>
      </c>
      <c r="Q156" s="71" t="s">
        <v>23</v>
      </c>
      <c r="R156" s="72" t="s">
        <v>133</v>
      </c>
      <c r="S156" s="73" t="s">
        <v>59</v>
      </c>
      <c r="T156" s="75">
        <f>T157+T158</f>
        <v>22852.199999999997</v>
      </c>
      <c r="U156" s="75">
        <f t="shared" ref="U156:Y156" si="30">U157+U158</f>
        <v>5200.3</v>
      </c>
      <c r="V156" s="75">
        <f>V157+V158+V159</f>
        <v>9620.7999999999993</v>
      </c>
      <c r="W156" s="75">
        <f t="shared" si="30"/>
        <v>1900</v>
      </c>
      <c r="X156" s="75">
        <f t="shared" si="30"/>
        <v>2250</v>
      </c>
      <c r="Y156" s="75">
        <f t="shared" si="30"/>
        <v>2250</v>
      </c>
      <c r="Z156" s="75">
        <f>Z157+Z158+Z159</f>
        <v>44073.3</v>
      </c>
      <c r="AA156" s="73">
        <v>2020</v>
      </c>
    </row>
    <row r="157" spans="1:32" s="1" customFormat="1" ht="60" x14ac:dyDescent="0.25">
      <c r="A157" s="71" t="s">
        <v>23</v>
      </c>
      <c r="B157" s="71" t="s">
        <v>23</v>
      </c>
      <c r="C157" s="71" t="s">
        <v>35</v>
      </c>
      <c r="D157" s="71" t="s">
        <v>23</v>
      </c>
      <c r="E157" s="71" t="s">
        <v>33</v>
      </c>
      <c r="F157" s="71" t="s">
        <v>23</v>
      </c>
      <c r="G157" s="71" t="s">
        <v>32</v>
      </c>
      <c r="H157" s="71" t="s">
        <v>23</v>
      </c>
      <c r="I157" s="71" t="s">
        <v>31</v>
      </c>
      <c r="J157" s="71" t="s">
        <v>24</v>
      </c>
      <c r="K157" s="71" t="s">
        <v>23</v>
      </c>
      <c r="L157" s="71" t="s">
        <v>33</v>
      </c>
      <c r="M157" s="71" t="s">
        <v>23</v>
      </c>
      <c r="N157" s="71" t="s">
        <v>23</v>
      </c>
      <c r="O157" s="71" t="s">
        <v>23</v>
      </c>
      <c r="P157" s="71" t="s">
        <v>23</v>
      </c>
      <c r="Q157" s="71" t="s">
        <v>23</v>
      </c>
      <c r="R157" s="72" t="s">
        <v>133</v>
      </c>
      <c r="S157" s="73" t="s">
        <v>59</v>
      </c>
      <c r="T157" s="74">
        <f>2580.4+9582.8+1918.3</f>
        <v>14081.499999999998</v>
      </c>
      <c r="U157" s="74">
        <f>8000-1614-28.9-1156.8</f>
        <v>5200.3</v>
      </c>
      <c r="V157" s="74">
        <f>5000-3943.2</f>
        <v>1056.8000000000002</v>
      </c>
      <c r="W157" s="74">
        <v>1900</v>
      </c>
      <c r="X157" s="74">
        <v>2250</v>
      </c>
      <c r="Y157" s="74">
        <v>2250</v>
      </c>
      <c r="Z157" s="75">
        <f t="shared" si="20"/>
        <v>26738.6</v>
      </c>
      <c r="AA157" s="73">
        <v>2020</v>
      </c>
      <c r="AB157" s="47"/>
      <c r="AC157" s="48"/>
      <c r="AD157" s="48"/>
    </row>
    <row r="158" spans="1:32" s="1" customFormat="1" ht="60" x14ac:dyDescent="0.25">
      <c r="A158" s="71" t="s">
        <v>23</v>
      </c>
      <c r="B158" s="71" t="s">
        <v>23</v>
      </c>
      <c r="C158" s="71" t="s">
        <v>35</v>
      </c>
      <c r="D158" s="71" t="s">
        <v>23</v>
      </c>
      <c r="E158" s="71" t="s">
        <v>33</v>
      </c>
      <c r="F158" s="71" t="s">
        <v>23</v>
      </c>
      <c r="G158" s="71" t="s">
        <v>32</v>
      </c>
      <c r="H158" s="71" t="s">
        <v>23</v>
      </c>
      <c r="I158" s="71" t="s">
        <v>31</v>
      </c>
      <c r="J158" s="71" t="s">
        <v>24</v>
      </c>
      <c r="K158" s="71" t="s">
        <v>39</v>
      </c>
      <c r="L158" s="71" t="s">
        <v>35</v>
      </c>
      <c r="M158" s="71" t="s">
        <v>24</v>
      </c>
      <c r="N158" s="71" t="s">
        <v>24</v>
      </c>
      <c r="O158" s="71"/>
      <c r="P158" s="71"/>
      <c r="Q158" s="71"/>
      <c r="R158" s="72" t="s">
        <v>133</v>
      </c>
      <c r="S158" s="73" t="s">
        <v>59</v>
      </c>
      <c r="T158" s="74">
        <v>8770.7000000000007</v>
      </c>
      <c r="U158" s="74"/>
      <c r="V158" s="74"/>
      <c r="W158" s="74"/>
      <c r="X158" s="74"/>
      <c r="Y158" s="74"/>
      <c r="Z158" s="75">
        <f t="shared" si="20"/>
        <v>8770.7000000000007</v>
      </c>
      <c r="AA158" s="73">
        <v>2015</v>
      </c>
      <c r="AB158" s="47"/>
      <c r="AC158" s="48"/>
      <c r="AD158" s="48"/>
    </row>
    <row r="159" spans="1:32" s="1" customFormat="1" ht="60" x14ac:dyDescent="0.25">
      <c r="A159" s="71" t="s">
        <v>23</v>
      </c>
      <c r="B159" s="71" t="s">
        <v>23</v>
      </c>
      <c r="C159" s="71" t="s">
        <v>35</v>
      </c>
      <c r="D159" s="71" t="s">
        <v>23</v>
      </c>
      <c r="E159" s="71" t="s">
        <v>33</v>
      </c>
      <c r="F159" s="71" t="s">
        <v>23</v>
      </c>
      <c r="G159" s="71" t="s">
        <v>32</v>
      </c>
      <c r="H159" s="71" t="s">
        <v>23</v>
      </c>
      <c r="I159" s="71" t="s">
        <v>31</v>
      </c>
      <c r="J159" s="71" t="s">
        <v>24</v>
      </c>
      <c r="K159" s="71" t="s">
        <v>23</v>
      </c>
      <c r="L159" s="71" t="s">
        <v>33</v>
      </c>
      <c r="M159" s="71" t="s">
        <v>180</v>
      </c>
      <c r="N159" s="71" t="s">
        <v>23</v>
      </c>
      <c r="O159" s="71" t="s">
        <v>25</v>
      </c>
      <c r="P159" s="71" t="s">
        <v>24</v>
      </c>
      <c r="Q159" s="71" t="s">
        <v>210</v>
      </c>
      <c r="R159" s="72" t="s">
        <v>133</v>
      </c>
      <c r="S159" s="73" t="s">
        <v>59</v>
      </c>
      <c r="T159" s="74"/>
      <c r="U159" s="74"/>
      <c r="V159" s="74">
        <v>8564</v>
      </c>
      <c r="W159" s="74"/>
      <c r="X159" s="74"/>
      <c r="Y159" s="74"/>
      <c r="Z159" s="75">
        <f>V159</f>
        <v>8564</v>
      </c>
      <c r="AA159" s="73">
        <v>2017</v>
      </c>
      <c r="AB159" s="94"/>
      <c r="AC159" s="48"/>
      <c r="AD159" s="48"/>
    </row>
    <row r="160" spans="1:32" ht="60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17" t="s">
        <v>138</v>
      </c>
      <c r="S160" s="15" t="s">
        <v>60</v>
      </c>
      <c r="T160" s="8">
        <v>17.8</v>
      </c>
      <c r="U160" s="8">
        <v>5.6</v>
      </c>
      <c r="V160" s="8">
        <v>20.6</v>
      </c>
      <c r="W160" s="8">
        <v>1</v>
      </c>
      <c r="X160" s="8">
        <v>1.8</v>
      </c>
      <c r="Y160" s="8">
        <v>1.8</v>
      </c>
      <c r="Z160" s="5">
        <f t="shared" si="20"/>
        <v>48.599999999999994</v>
      </c>
      <c r="AA160" s="15">
        <v>2020</v>
      </c>
    </row>
    <row r="161" spans="1:32" ht="60" x14ac:dyDescent="0.2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2" t="s">
        <v>48</v>
      </c>
      <c r="S161" s="73" t="s">
        <v>45</v>
      </c>
      <c r="T161" s="77">
        <v>1</v>
      </c>
      <c r="U161" s="77">
        <v>1</v>
      </c>
      <c r="V161" s="77">
        <v>1</v>
      </c>
      <c r="W161" s="77">
        <v>1</v>
      </c>
      <c r="X161" s="77">
        <v>1</v>
      </c>
      <c r="Y161" s="77">
        <v>1</v>
      </c>
      <c r="Z161" s="77">
        <v>1</v>
      </c>
      <c r="AA161" s="73">
        <v>2020</v>
      </c>
    </row>
    <row r="162" spans="1:32" s="65" customFormat="1" ht="30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17" t="s">
        <v>49</v>
      </c>
      <c r="S162" s="15" t="s">
        <v>55</v>
      </c>
      <c r="T162" s="21">
        <f>15+12+42+10</f>
        <v>79</v>
      </c>
      <c r="U162" s="21">
        <f>11+15+84+21</f>
        <v>131</v>
      </c>
      <c r="V162" s="21">
        <f>30+10+15+5</f>
        <v>60</v>
      </c>
      <c r="W162" s="21">
        <v>40</v>
      </c>
      <c r="X162" s="21">
        <v>11</v>
      </c>
      <c r="Y162" s="21">
        <v>11</v>
      </c>
      <c r="Z162" s="6">
        <f t="shared" si="20"/>
        <v>332</v>
      </c>
      <c r="AA162" s="15">
        <v>2020</v>
      </c>
      <c r="AB162" s="42"/>
      <c r="AC162" s="42"/>
      <c r="AD162" s="42"/>
      <c r="AE162" s="43"/>
      <c r="AF162" s="43"/>
    </row>
    <row r="163" spans="1:32" s="65" customFormat="1" ht="45" x14ac:dyDescent="0.25">
      <c r="A163" s="71" t="s">
        <v>23</v>
      </c>
      <c r="B163" s="71" t="s">
        <v>23</v>
      </c>
      <c r="C163" s="71" t="s">
        <v>30</v>
      </c>
      <c r="D163" s="71" t="s">
        <v>23</v>
      </c>
      <c r="E163" s="71" t="s">
        <v>33</v>
      </c>
      <c r="F163" s="71" t="s">
        <v>23</v>
      </c>
      <c r="G163" s="71" t="s">
        <v>32</v>
      </c>
      <c r="H163" s="71" t="s">
        <v>23</v>
      </c>
      <c r="I163" s="71" t="s">
        <v>31</v>
      </c>
      <c r="J163" s="71" t="s">
        <v>24</v>
      </c>
      <c r="K163" s="71" t="s">
        <v>23</v>
      </c>
      <c r="L163" s="71" t="s">
        <v>23</v>
      </c>
      <c r="M163" s="71" t="s">
        <v>23</v>
      </c>
      <c r="N163" s="71" t="s">
        <v>23</v>
      </c>
      <c r="O163" s="71" t="s">
        <v>23</v>
      </c>
      <c r="P163" s="71" t="s">
        <v>23</v>
      </c>
      <c r="Q163" s="71" t="s">
        <v>23</v>
      </c>
      <c r="R163" s="72" t="s">
        <v>182</v>
      </c>
      <c r="S163" s="73" t="s">
        <v>59</v>
      </c>
      <c r="T163" s="77"/>
      <c r="U163" s="75">
        <f>U164+U165</f>
        <v>981</v>
      </c>
      <c r="V163" s="81"/>
      <c r="W163" s="81"/>
      <c r="X163" s="81"/>
      <c r="Y163" s="81"/>
      <c r="Z163" s="75">
        <f t="shared" ref="Z163:Z174" si="31">U163</f>
        <v>981</v>
      </c>
      <c r="AA163" s="73">
        <v>2016</v>
      </c>
      <c r="AB163" s="42"/>
      <c r="AC163" s="42"/>
      <c r="AD163" s="42"/>
      <c r="AE163" s="43"/>
      <c r="AF163" s="43"/>
    </row>
    <row r="164" spans="1:32" s="65" customFormat="1" ht="45" x14ac:dyDescent="0.25">
      <c r="A164" s="71" t="s">
        <v>23</v>
      </c>
      <c r="B164" s="71" t="s">
        <v>23</v>
      </c>
      <c r="C164" s="71" t="s">
        <v>30</v>
      </c>
      <c r="D164" s="71" t="s">
        <v>23</v>
      </c>
      <c r="E164" s="71" t="s">
        <v>33</v>
      </c>
      <c r="F164" s="71" t="s">
        <v>23</v>
      </c>
      <c r="G164" s="71" t="s">
        <v>32</v>
      </c>
      <c r="H164" s="71" t="s">
        <v>23</v>
      </c>
      <c r="I164" s="71" t="s">
        <v>31</v>
      </c>
      <c r="J164" s="71" t="s">
        <v>24</v>
      </c>
      <c r="K164" s="71" t="s">
        <v>23</v>
      </c>
      <c r="L164" s="71" t="s">
        <v>33</v>
      </c>
      <c r="M164" s="71" t="s">
        <v>180</v>
      </c>
      <c r="N164" s="71" t="s">
        <v>23</v>
      </c>
      <c r="O164" s="71" t="s">
        <v>33</v>
      </c>
      <c r="P164" s="71" t="s">
        <v>34</v>
      </c>
      <c r="Q164" s="71" t="s">
        <v>181</v>
      </c>
      <c r="R164" s="72" t="s">
        <v>182</v>
      </c>
      <c r="S164" s="73" t="s">
        <v>59</v>
      </c>
      <c r="T164" s="77"/>
      <c r="U164" s="74">
        <f>321+232+52-24</f>
        <v>581</v>
      </c>
      <c r="V164" s="77"/>
      <c r="W164" s="77"/>
      <c r="X164" s="77"/>
      <c r="Y164" s="77"/>
      <c r="Z164" s="75">
        <f t="shared" si="31"/>
        <v>581</v>
      </c>
      <c r="AA164" s="73">
        <v>2016</v>
      </c>
      <c r="AB164" s="48"/>
      <c r="AC164" s="42"/>
      <c r="AD164" s="42"/>
      <c r="AE164" s="43"/>
      <c r="AF164" s="43"/>
    </row>
    <row r="165" spans="1:32" s="65" customFormat="1" ht="45" x14ac:dyDescent="0.25">
      <c r="A165" s="71" t="s">
        <v>23</v>
      </c>
      <c r="B165" s="71" t="s">
        <v>23</v>
      </c>
      <c r="C165" s="71" t="s">
        <v>30</v>
      </c>
      <c r="D165" s="71" t="s">
        <v>23</v>
      </c>
      <c r="E165" s="71" t="s">
        <v>33</v>
      </c>
      <c r="F165" s="71" t="s">
        <v>23</v>
      </c>
      <c r="G165" s="71" t="s">
        <v>32</v>
      </c>
      <c r="H165" s="71" t="s">
        <v>23</v>
      </c>
      <c r="I165" s="71" t="s">
        <v>31</v>
      </c>
      <c r="J165" s="71" t="s">
        <v>24</v>
      </c>
      <c r="K165" s="71" t="s">
        <v>23</v>
      </c>
      <c r="L165" s="71" t="s">
        <v>33</v>
      </c>
      <c r="M165" s="71" t="s">
        <v>24</v>
      </c>
      <c r="N165" s="71" t="s">
        <v>23</v>
      </c>
      <c r="O165" s="71" t="s">
        <v>33</v>
      </c>
      <c r="P165" s="71" t="s">
        <v>34</v>
      </c>
      <c r="Q165" s="71" t="s">
        <v>181</v>
      </c>
      <c r="R165" s="72" t="s">
        <v>182</v>
      </c>
      <c r="S165" s="73" t="s">
        <v>59</v>
      </c>
      <c r="T165" s="77"/>
      <c r="U165" s="74">
        <v>400</v>
      </c>
      <c r="V165" s="77"/>
      <c r="W165" s="77"/>
      <c r="X165" s="77"/>
      <c r="Y165" s="77"/>
      <c r="Z165" s="75">
        <f t="shared" si="31"/>
        <v>400</v>
      </c>
      <c r="AA165" s="73">
        <v>2016</v>
      </c>
      <c r="AB165" s="42"/>
      <c r="AC165" s="42"/>
      <c r="AD165" s="42"/>
      <c r="AE165" s="43"/>
      <c r="AF165" s="43"/>
    </row>
    <row r="166" spans="1:32" s="65" customFormat="1" ht="30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17" t="s">
        <v>183</v>
      </c>
      <c r="S166" s="15" t="s">
        <v>60</v>
      </c>
      <c r="T166" s="21"/>
      <c r="U166" s="8">
        <v>1.6</v>
      </c>
      <c r="V166" s="8"/>
      <c r="W166" s="8"/>
      <c r="X166" s="8"/>
      <c r="Y166" s="8"/>
      <c r="Z166" s="5">
        <f t="shared" si="31"/>
        <v>1.6</v>
      </c>
      <c r="AA166" s="15">
        <v>2016</v>
      </c>
      <c r="AB166" s="42"/>
      <c r="AC166" s="42"/>
      <c r="AD166" s="42"/>
      <c r="AE166" s="43"/>
      <c r="AF166" s="43"/>
    </row>
    <row r="167" spans="1:32" s="65" customFormat="1" ht="45" x14ac:dyDescent="0.25">
      <c r="A167" s="71" t="s">
        <v>23</v>
      </c>
      <c r="B167" s="71" t="s">
        <v>23</v>
      </c>
      <c r="C167" s="71" t="s">
        <v>30</v>
      </c>
      <c r="D167" s="71" t="s">
        <v>23</v>
      </c>
      <c r="E167" s="71" t="s">
        <v>33</v>
      </c>
      <c r="F167" s="71" t="s">
        <v>23</v>
      </c>
      <c r="G167" s="71" t="s">
        <v>32</v>
      </c>
      <c r="H167" s="71" t="s">
        <v>23</v>
      </c>
      <c r="I167" s="71" t="s">
        <v>31</v>
      </c>
      <c r="J167" s="71" t="s">
        <v>24</v>
      </c>
      <c r="K167" s="71" t="s">
        <v>23</v>
      </c>
      <c r="L167" s="71" t="s">
        <v>23</v>
      </c>
      <c r="M167" s="71" t="s">
        <v>23</v>
      </c>
      <c r="N167" s="71" t="s">
        <v>23</v>
      </c>
      <c r="O167" s="71" t="s">
        <v>23</v>
      </c>
      <c r="P167" s="71" t="s">
        <v>23</v>
      </c>
      <c r="Q167" s="71" t="s">
        <v>23</v>
      </c>
      <c r="R167" s="72" t="s">
        <v>184</v>
      </c>
      <c r="S167" s="73" t="s">
        <v>59</v>
      </c>
      <c r="T167" s="77"/>
      <c r="U167" s="75">
        <f>U168+U169</f>
        <v>207</v>
      </c>
      <c r="V167" s="81"/>
      <c r="W167" s="81"/>
      <c r="X167" s="81"/>
      <c r="Y167" s="81"/>
      <c r="Z167" s="75">
        <f t="shared" si="31"/>
        <v>207</v>
      </c>
      <c r="AA167" s="73">
        <v>2016</v>
      </c>
      <c r="AB167" s="42"/>
      <c r="AC167" s="42"/>
      <c r="AD167" s="42"/>
      <c r="AE167" s="43"/>
      <c r="AF167" s="43"/>
    </row>
    <row r="168" spans="1:32" s="65" customFormat="1" ht="45" x14ac:dyDescent="0.25">
      <c r="A168" s="71" t="s">
        <v>23</v>
      </c>
      <c r="B168" s="71" t="s">
        <v>23</v>
      </c>
      <c r="C168" s="71" t="s">
        <v>30</v>
      </c>
      <c r="D168" s="71" t="s">
        <v>23</v>
      </c>
      <c r="E168" s="71" t="s">
        <v>33</v>
      </c>
      <c r="F168" s="71" t="s">
        <v>23</v>
      </c>
      <c r="G168" s="71" t="s">
        <v>32</v>
      </c>
      <c r="H168" s="71" t="s">
        <v>23</v>
      </c>
      <c r="I168" s="71" t="s">
        <v>31</v>
      </c>
      <c r="J168" s="71" t="s">
        <v>24</v>
      </c>
      <c r="K168" s="71" t="s">
        <v>23</v>
      </c>
      <c r="L168" s="71" t="s">
        <v>33</v>
      </c>
      <c r="M168" s="71" t="s">
        <v>180</v>
      </c>
      <c r="N168" s="71" t="s">
        <v>23</v>
      </c>
      <c r="O168" s="71" t="s">
        <v>33</v>
      </c>
      <c r="P168" s="71" t="s">
        <v>34</v>
      </c>
      <c r="Q168" s="71" t="s">
        <v>181</v>
      </c>
      <c r="R168" s="72" t="s">
        <v>184</v>
      </c>
      <c r="S168" s="73" t="s">
        <v>59</v>
      </c>
      <c r="T168" s="77"/>
      <c r="U168" s="74">
        <f>65.6+41.4+17.2</f>
        <v>124.2</v>
      </c>
      <c r="V168" s="77"/>
      <c r="W168" s="77"/>
      <c r="X168" s="77"/>
      <c r="Y168" s="77"/>
      <c r="Z168" s="75">
        <f t="shared" si="31"/>
        <v>124.2</v>
      </c>
      <c r="AA168" s="73">
        <v>2016</v>
      </c>
      <c r="AB168" s="42"/>
      <c r="AC168" s="42"/>
      <c r="AD168" s="42"/>
      <c r="AE168" s="43"/>
      <c r="AF168" s="43"/>
    </row>
    <row r="169" spans="1:32" s="65" customFormat="1" ht="45" x14ac:dyDescent="0.25">
      <c r="A169" s="71" t="s">
        <v>23</v>
      </c>
      <c r="B169" s="71" t="s">
        <v>23</v>
      </c>
      <c r="C169" s="71" t="s">
        <v>30</v>
      </c>
      <c r="D169" s="71" t="s">
        <v>23</v>
      </c>
      <c r="E169" s="71" t="s">
        <v>33</v>
      </c>
      <c r="F169" s="71" t="s">
        <v>23</v>
      </c>
      <c r="G169" s="71" t="s">
        <v>32</v>
      </c>
      <c r="H169" s="71" t="s">
        <v>23</v>
      </c>
      <c r="I169" s="71" t="s">
        <v>31</v>
      </c>
      <c r="J169" s="71" t="s">
        <v>24</v>
      </c>
      <c r="K169" s="71" t="s">
        <v>23</v>
      </c>
      <c r="L169" s="71" t="s">
        <v>33</v>
      </c>
      <c r="M169" s="71" t="s">
        <v>24</v>
      </c>
      <c r="N169" s="71" t="s">
        <v>23</v>
      </c>
      <c r="O169" s="71" t="s">
        <v>33</v>
      </c>
      <c r="P169" s="71" t="s">
        <v>34</v>
      </c>
      <c r="Q169" s="71" t="s">
        <v>181</v>
      </c>
      <c r="R169" s="72" t="s">
        <v>184</v>
      </c>
      <c r="S169" s="73" t="s">
        <v>59</v>
      </c>
      <c r="T169" s="77"/>
      <c r="U169" s="74">
        <v>82.8</v>
      </c>
      <c r="V169" s="77"/>
      <c r="W169" s="77"/>
      <c r="X169" s="77"/>
      <c r="Y169" s="77"/>
      <c r="Z169" s="75">
        <f t="shared" si="31"/>
        <v>82.8</v>
      </c>
      <c r="AA169" s="73">
        <v>2016</v>
      </c>
      <c r="AB169" s="42"/>
      <c r="AC169" s="42"/>
      <c r="AD169" s="42"/>
      <c r="AE169" s="43"/>
      <c r="AF169" s="43"/>
    </row>
    <row r="170" spans="1:32" s="65" customFormat="1" ht="30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17" t="s">
        <v>185</v>
      </c>
      <c r="S170" s="15" t="s">
        <v>21</v>
      </c>
      <c r="T170" s="21"/>
      <c r="U170" s="8">
        <v>92</v>
      </c>
      <c r="V170" s="8"/>
      <c r="W170" s="8"/>
      <c r="X170" s="8"/>
      <c r="Y170" s="8"/>
      <c r="Z170" s="5">
        <f t="shared" si="31"/>
        <v>92</v>
      </c>
      <c r="AA170" s="15">
        <v>2016</v>
      </c>
      <c r="AB170" s="42"/>
      <c r="AC170" s="42"/>
      <c r="AD170" s="42"/>
      <c r="AE170" s="43"/>
      <c r="AF170" s="43"/>
    </row>
    <row r="171" spans="1:32" s="65" customFormat="1" ht="45" x14ac:dyDescent="0.25">
      <c r="A171" s="71" t="s">
        <v>23</v>
      </c>
      <c r="B171" s="71" t="s">
        <v>23</v>
      </c>
      <c r="C171" s="71" t="s">
        <v>35</v>
      </c>
      <c r="D171" s="71" t="s">
        <v>23</v>
      </c>
      <c r="E171" s="71" t="s">
        <v>33</v>
      </c>
      <c r="F171" s="71" t="s">
        <v>23</v>
      </c>
      <c r="G171" s="71" t="s">
        <v>32</v>
      </c>
      <c r="H171" s="71" t="s">
        <v>23</v>
      </c>
      <c r="I171" s="71" t="s">
        <v>31</v>
      </c>
      <c r="J171" s="71" t="s">
        <v>24</v>
      </c>
      <c r="K171" s="71" t="s">
        <v>23</v>
      </c>
      <c r="L171" s="71" t="s">
        <v>23</v>
      </c>
      <c r="M171" s="71" t="s">
        <v>23</v>
      </c>
      <c r="N171" s="71" t="s">
        <v>23</v>
      </c>
      <c r="O171" s="71" t="s">
        <v>23</v>
      </c>
      <c r="P171" s="71" t="s">
        <v>23</v>
      </c>
      <c r="Q171" s="71" t="s">
        <v>23</v>
      </c>
      <c r="R171" s="72" t="s">
        <v>186</v>
      </c>
      <c r="S171" s="73" t="s">
        <v>59</v>
      </c>
      <c r="T171" s="77"/>
      <c r="U171" s="75">
        <f>U172+U173</f>
        <v>1286.2</v>
      </c>
      <c r="V171" s="81"/>
      <c r="W171" s="81"/>
      <c r="X171" s="81"/>
      <c r="Y171" s="81"/>
      <c r="Z171" s="75">
        <f t="shared" si="31"/>
        <v>1286.2</v>
      </c>
      <c r="AA171" s="73">
        <v>2016</v>
      </c>
      <c r="AB171" s="42"/>
      <c r="AC171" s="42"/>
      <c r="AD171" s="42"/>
      <c r="AE171" s="43"/>
      <c r="AF171" s="43"/>
    </row>
    <row r="172" spans="1:32" s="65" customFormat="1" ht="45" x14ac:dyDescent="0.25">
      <c r="A172" s="71" t="s">
        <v>23</v>
      </c>
      <c r="B172" s="71" t="s">
        <v>23</v>
      </c>
      <c r="C172" s="71" t="s">
        <v>35</v>
      </c>
      <c r="D172" s="71" t="s">
        <v>23</v>
      </c>
      <c r="E172" s="71" t="s">
        <v>33</v>
      </c>
      <c r="F172" s="71" t="s">
        <v>23</v>
      </c>
      <c r="G172" s="71" t="s">
        <v>32</v>
      </c>
      <c r="H172" s="71" t="s">
        <v>23</v>
      </c>
      <c r="I172" s="71" t="s">
        <v>31</v>
      </c>
      <c r="J172" s="71" t="s">
        <v>24</v>
      </c>
      <c r="K172" s="71" t="s">
        <v>23</v>
      </c>
      <c r="L172" s="71" t="s">
        <v>33</v>
      </c>
      <c r="M172" s="71" t="s">
        <v>180</v>
      </c>
      <c r="N172" s="71" t="s">
        <v>23</v>
      </c>
      <c r="O172" s="71" t="s">
        <v>33</v>
      </c>
      <c r="P172" s="71" t="s">
        <v>34</v>
      </c>
      <c r="Q172" s="71" t="s">
        <v>181</v>
      </c>
      <c r="R172" s="72" t="s">
        <v>186</v>
      </c>
      <c r="S172" s="73" t="s">
        <v>59</v>
      </c>
      <c r="T172" s="77"/>
      <c r="U172" s="74">
        <f>400+476.2+10</f>
        <v>886.2</v>
      </c>
      <c r="V172" s="77"/>
      <c r="W172" s="77"/>
      <c r="X172" s="77"/>
      <c r="Y172" s="77"/>
      <c r="Z172" s="75">
        <f t="shared" si="31"/>
        <v>886.2</v>
      </c>
      <c r="AA172" s="73">
        <v>2016</v>
      </c>
      <c r="AB172" s="42"/>
      <c r="AC172" s="42"/>
      <c r="AD172" s="42"/>
      <c r="AE172" s="43"/>
      <c r="AF172" s="43"/>
    </row>
    <row r="173" spans="1:32" s="65" customFormat="1" ht="45" x14ac:dyDescent="0.25">
      <c r="A173" s="71" t="s">
        <v>23</v>
      </c>
      <c r="B173" s="71" t="s">
        <v>23</v>
      </c>
      <c r="C173" s="71" t="s">
        <v>35</v>
      </c>
      <c r="D173" s="71" t="s">
        <v>23</v>
      </c>
      <c r="E173" s="71" t="s">
        <v>33</v>
      </c>
      <c r="F173" s="71" t="s">
        <v>23</v>
      </c>
      <c r="G173" s="71" t="s">
        <v>32</v>
      </c>
      <c r="H173" s="71" t="s">
        <v>23</v>
      </c>
      <c r="I173" s="71" t="s">
        <v>31</v>
      </c>
      <c r="J173" s="71" t="s">
        <v>24</v>
      </c>
      <c r="K173" s="71" t="s">
        <v>23</v>
      </c>
      <c r="L173" s="71" t="s">
        <v>33</v>
      </c>
      <c r="M173" s="71" t="s">
        <v>24</v>
      </c>
      <c r="N173" s="71" t="s">
        <v>23</v>
      </c>
      <c r="O173" s="71" t="s">
        <v>33</v>
      </c>
      <c r="P173" s="71" t="s">
        <v>34</v>
      </c>
      <c r="Q173" s="71" t="s">
        <v>181</v>
      </c>
      <c r="R173" s="72" t="s">
        <v>186</v>
      </c>
      <c r="S173" s="73" t="s">
        <v>59</v>
      </c>
      <c r="T173" s="77" t="s">
        <v>189</v>
      </c>
      <c r="U173" s="74">
        <v>400</v>
      </c>
      <c r="V173" s="77"/>
      <c r="W173" s="77"/>
      <c r="X173" s="77"/>
      <c r="Y173" s="77"/>
      <c r="Z173" s="75">
        <f t="shared" si="31"/>
        <v>400</v>
      </c>
      <c r="AA173" s="73">
        <v>2016</v>
      </c>
      <c r="AB173" s="42"/>
      <c r="AC173" s="42"/>
      <c r="AD173" s="42"/>
      <c r="AE173" s="43"/>
      <c r="AF173" s="43"/>
    </row>
    <row r="174" spans="1:32" s="65" customFormat="1" ht="30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17" t="s">
        <v>188</v>
      </c>
      <c r="S174" s="15" t="s">
        <v>187</v>
      </c>
      <c r="T174" s="21"/>
      <c r="U174" s="8">
        <v>873.3</v>
      </c>
      <c r="V174" s="8"/>
      <c r="W174" s="8"/>
      <c r="X174" s="8"/>
      <c r="Y174" s="8"/>
      <c r="Z174" s="5">
        <f t="shared" si="31"/>
        <v>873.3</v>
      </c>
      <c r="AA174" s="15">
        <v>2016</v>
      </c>
      <c r="AB174" s="42"/>
      <c r="AC174" s="42"/>
      <c r="AD174" s="42"/>
      <c r="AE174" s="43"/>
      <c r="AF174" s="43"/>
    </row>
    <row r="175" spans="1:32" s="65" customFormat="1" ht="30" x14ac:dyDescent="0.25">
      <c r="A175" s="71" t="s">
        <v>23</v>
      </c>
      <c r="B175" s="71" t="s">
        <v>24</v>
      </c>
      <c r="C175" s="71" t="s">
        <v>25</v>
      </c>
      <c r="D175" s="71" t="s">
        <v>23</v>
      </c>
      <c r="E175" s="71" t="s">
        <v>33</v>
      </c>
      <c r="F175" s="71" t="s">
        <v>23</v>
      </c>
      <c r="G175" s="71" t="s">
        <v>32</v>
      </c>
      <c r="H175" s="71" t="s">
        <v>23</v>
      </c>
      <c r="I175" s="71" t="s">
        <v>31</v>
      </c>
      <c r="J175" s="71" t="s">
        <v>24</v>
      </c>
      <c r="K175" s="71" t="s">
        <v>23</v>
      </c>
      <c r="L175" s="71" t="s">
        <v>33</v>
      </c>
      <c r="M175" s="71" t="s">
        <v>180</v>
      </c>
      <c r="N175" s="71" t="s">
        <v>23</v>
      </c>
      <c r="O175" s="71" t="s">
        <v>33</v>
      </c>
      <c r="P175" s="71" t="s">
        <v>34</v>
      </c>
      <c r="Q175" s="71" t="s">
        <v>210</v>
      </c>
      <c r="R175" s="72" t="s">
        <v>214</v>
      </c>
      <c r="S175" s="73" t="s">
        <v>59</v>
      </c>
      <c r="T175" s="74"/>
      <c r="U175" s="74"/>
      <c r="V175" s="75">
        <f>10000-8813</f>
        <v>1187</v>
      </c>
      <c r="W175" s="74"/>
      <c r="X175" s="74"/>
      <c r="Y175" s="74"/>
      <c r="Z175" s="75">
        <f t="shared" ref="Z175:Z176" si="32">T175+U175+V175+W175+X175+Y175</f>
        <v>1187</v>
      </c>
      <c r="AA175" s="73">
        <v>2017</v>
      </c>
      <c r="AB175" s="48"/>
      <c r="AC175" s="42"/>
      <c r="AD175" s="42"/>
      <c r="AE175" s="43"/>
      <c r="AF175" s="43"/>
    </row>
    <row r="176" spans="1:32" s="65" customFormat="1" ht="60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17" t="s">
        <v>211</v>
      </c>
      <c r="S176" s="15" t="s">
        <v>60</v>
      </c>
      <c r="T176" s="8"/>
      <c r="U176" s="8"/>
      <c r="V176" s="8">
        <v>1</v>
      </c>
      <c r="W176" s="8"/>
      <c r="X176" s="8"/>
      <c r="Y176" s="8"/>
      <c r="Z176" s="5">
        <f t="shared" si="32"/>
        <v>1</v>
      </c>
      <c r="AA176" s="15">
        <v>2017</v>
      </c>
      <c r="AB176" s="48"/>
      <c r="AC176" s="42"/>
      <c r="AD176" s="42"/>
      <c r="AE176" s="43"/>
      <c r="AF176" s="43"/>
    </row>
    <row r="177" spans="1:32" s="65" customFormat="1" ht="45" x14ac:dyDescent="0.25">
      <c r="A177" s="71" t="s">
        <v>23</v>
      </c>
      <c r="B177" s="71" t="s">
        <v>23</v>
      </c>
      <c r="C177" s="71" t="s">
        <v>33</v>
      </c>
      <c r="D177" s="72">
        <v>0</v>
      </c>
      <c r="E177" s="72">
        <v>4</v>
      </c>
      <c r="F177" s="72">
        <v>0</v>
      </c>
      <c r="G177" s="72">
        <v>9</v>
      </c>
      <c r="H177" s="71" t="s">
        <v>23</v>
      </c>
      <c r="I177" s="71" t="s">
        <v>31</v>
      </c>
      <c r="J177" s="71" t="s">
        <v>24</v>
      </c>
      <c r="K177" s="71" t="s">
        <v>23</v>
      </c>
      <c r="L177" s="71" t="s">
        <v>23</v>
      </c>
      <c r="M177" s="71" t="s">
        <v>23</v>
      </c>
      <c r="N177" s="71" t="s">
        <v>23</v>
      </c>
      <c r="O177" s="71" t="s">
        <v>23</v>
      </c>
      <c r="P177" s="71" t="s">
        <v>23</v>
      </c>
      <c r="Q177" s="71" t="s">
        <v>23</v>
      </c>
      <c r="R177" s="72" t="s">
        <v>223</v>
      </c>
      <c r="S177" s="73" t="s">
        <v>59</v>
      </c>
      <c r="T177" s="74"/>
      <c r="U177" s="74"/>
      <c r="V177" s="75">
        <f>V178+V179+V180</f>
        <v>982.4</v>
      </c>
      <c r="W177" s="74"/>
      <c r="X177" s="74"/>
      <c r="Y177" s="74"/>
      <c r="Z177" s="75">
        <f>V177</f>
        <v>982.4</v>
      </c>
      <c r="AA177" s="73">
        <v>2017</v>
      </c>
      <c r="AB177" s="48"/>
      <c r="AC177" s="42"/>
      <c r="AD177" s="42"/>
      <c r="AE177" s="43"/>
      <c r="AF177" s="43"/>
    </row>
    <row r="178" spans="1:32" s="65" customFormat="1" ht="45" x14ac:dyDescent="0.25">
      <c r="A178" s="71" t="s">
        <v>23</v>
      </c>
      <c r="B178" s="71" t="s">
        <v>23</v>
      </c>
      <c r="C178" s="71" t="s">
        <v>33</v>
      </c>
      <c r="D178" s="72">
        <v>0</v>
      </c>
      <c r="E178" s="72">
        <v>4</v>
      </c>
      <c r="F178" s="72">
        <v>0</v>
      </c>
      <c r="G178" s="72">
        <v>9</v>
      </c>
      <c r="H178" s="71" t="s">
        <v>23</v>
      </c>
      <c r="I178" s="71" t="s">
        <v>31</v>
      </c>
      <c r="J178" s="71" t="s">
        <v>24</v>
      </c>
      <c r="K178" s="71" t="s">
        <v>23</v>
      </c>
      <c r="L178" s="71" t="s">
        <v>33</v>
      </c>
      <c r="M178" s="71" t="s">
        <v>180</v>
      </c>
      <c r="N178" s="71" t="s">
        <v>23</v>
      </c>
      <c r="O178" s="71" t="s">
        <v>33</v>
      </c>
      <c r="P178" s="71" t="s">
        <v>34</v>
      </c>
      <c r="Q178" s="71" t="s">
        <v>210</v>
      </c>
      <c r="R178" s="72" t="s">
        <v>223</v>
      </c>
      <c r="S178" s="73" t="s">
        <v>59</v>
      </c>
      <c r="T178" s="74"/>
      <c r="U178" s="74"/>
      <c r="V178" s="74">
        <v>442.1</v>
      </c>
      <c r="W178" s="74"/>
      <c r="X178" s="74"/>
      <c r="Y178" s="74"/>
      <c r="Z178" s="75">
        <f t="shared" ref="Z178:Z180" si="33">V178</f>
        <v>442.1</v>
      </c>
      <c r="AA178" s="73">
        <v>2017</v>
      </c>
      <c r="AB178" s="48"/>
      <c r="AC178" s="42"/>
      <c r="AD178" s="42"/>
      <c r="AE178" s="43"/>
      <c r="AF178" s="43"/>
    </row>
    <row r="179" spans="1:32" s="65" customFormat="1" ht="45" x14ac:dyDescent="0.25">
      <c r="A179" s="71" t="s">
        <v>23</v>
      </c>
      <c r="B179" s="71" t="s">
        <v>23</v>
      </c>
      <c r="C179" s="71" t="s">
        <v>33</v>
      </c>
      <c r="D179" s="72">
        <v>0</v>
      </c>
      <c r="E179" s="72">
        <v>4</v>
      </c>
      <c r="F179" s="72">
        <v>0</v>
      </c>
      <c r="G179" s="72">
        <v>9</v>
      </c>
      <c r="H179" s="71" t="s">
        <v>23</v>
      </c>
      <c r="I179" s="71" t="s">
        <v>31</v>
      </c>
      <c r="J179" s="71" t="s">
        <v>24</v>
      </c>
      <c r="K179" s="71" t="s">
        <v>23</v>
      </c>
      <c r="L179" s="71" t="s">
        <v>33</v>
      </c>
      <c r="M179" s="71" t="s">
        <v>180</v>
      </c>
      <c r="N179" s="71" t="s">
        <v>23</v>
      </c>
      <c r="O179" s="71" t="s">
        <v>33</v>
      </c>
      <c r="P179" s="71" t="s">
        <v>34</v>
      </c>
      <c r="Q179" s="71" t="s">
        <v>220</v>
      </c>
      <c r="R179" s="72" t="s">
        <v>223</v>
      </c>
      <c r="S179" s="73" t="s">
        <v>59</v>
      </c>
      <c r="T179" s="74"/>
      <c r="U179" s="74"/>
      <c r="V179" s="74">
        <v>147.4</v>
      </c>
      <c r="W179" s="74"/>
      <c r="X179" s="74"/>
      <c r="Y179" s="74"/>
      <c r="Z179" s="75">
        <f t="shared" si="33"/>
        <v>147.4</v>
      </c>
      <c r="AA179" s="73">
        <v>2017</v>
      </c>
      <c r="AB179" s="48"/>
      <c r="AC179" s="42"/>
      <c r="AD179" s="42"/>
      <c r="AE179" s="43"/>
      <c r="AF179" s="43"/>
    </row>
    <row r="180" spans="1:32" s="65" customFormat="1" ht="45" x14ac:dyDescent="0.25">
      <c r="A180" s="71" t="s">
        <v>23</v>
      </c>
      <c r="B180" s="71" t="s">
        <v>23</v>
      </c>
      <c r="C180" s="71" t="s">
        <v>33</v>
      </c>
      <c r="D180" s="72">
        <v>0</v>
      </c>
      <c r="E180" s="72">
        <v>4</v>
      </c>
      <c r="F180" s="72">
        <v>0</v>
      </c>
      <c r="G180" s="72">
        <v>9</v>
      </c>
      <c r="H180" s="71" t="s">
        <v>23</v>
      </c>
      <c r="I180" s="71" t="s">
        <v>31</v>
      </c>
      <c r="J180" s="71" t="s">
        <v>24</v>
      </c>
      <c r="K180" s="71" t="s">
        <v>23</v>
      </c>
      <c r="L180" s="71" t="s">
        <v>33</v>
      </c>
      <c r="M180" s="71" t="s">
        <v>180</v>
      </c>
      <c r="N180" s="71" t="s">
        <v>23</v>
      </c>
      <c r="O180" s="71" t="s">
        <v>33</v>
      </c>
      <c r="P180" s="71" t="s">
        <v>34</v>
      </c>
      <c r="Q180" s="71" t="s">
        <v>221</v>
      </c>
      <c r="R180" s="72" t="s">
        <v>223</v>
      </c>
      <c r="S180" s="73" t="s">
        <v>59</v>
      </c>
      <c r="T180" s="74"/>
      <c r="U180" s="74"/>
      <c r="V180" s="74">
        <v>392.9</v>
      </c>
      <c r="W180" s="74"/>
      <c r="X180" s="74"/>
      <c r="Y180" s="74"/>
      <c r="Z180" s="75">
        <f t="shared" si="33"/>
        <v>392.9</v>
      </c>
      <c r="AA180" s="73">
        <v>2017</v>
      </c>
      <c r="AB180" s="48"/>
      <c r="AC180" s="42"/>
      <c r="AD180" s="42"/>
      <c r="AE180" s="43"/>
      <c r="AF180" s="43"/>
    </row>
    <row r="181" spans="1:32" s="65" customFormat="1" ht="60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17" t="s">
        <v>238</v>
      </c>
      <c r="S181" s="15" t="s">
        <v>60</v>
      </c>
      <c r="T181" s="8"/>
      <c r="U181" s="8"/>
      <c r="V181" s="8">
        <v>0.7</v>
      </c>
      <c r="W181" s="8"/>
      <c r="X181" s="8"/>
      <c r="Y181" s="8"/>
      <c r="Z181" s="5">
        <f>V181</f>
        <v>0.7</v>
      </c>
      <c r="AA181" s="15">
        <v>2017</v>
      </c>
      <c r="AB181" s="48"/>
      <c r="AC181" s="42"/>
      <c r="AD181" s="42"/>
      <c r="AE181" s="43"/>
      <c r="AF181" s="43"/>
    </row>
    <row r="182" spans="1:32" s="65" customFormat="1" ht="45" x14ac:dyDescent="0.25">
      <c r="A182" s="71" t="s">
        <v>23</v>
      </c>
      <c r="B182" s="71" t="s">
        <v>23</v>
      </c>
      <c r="C182" s="71" t="s">
        <v>33</v>
      </c>
      <c r="D182" s="72">
        <v>0</v>
      </c>
      <c r="E182" s="72">
        <v>4</v>
      </c>
      <c r="F182" s="72">
        <v>0</v>
      </c>
      <c r="G182" s="72">
        <v>9</v>
      </c>
      <c r="H182" s="71" t="s">
        <v>23</v>
      </c>
      <c r="I182" s="71" t="s">
        <v>31</v>
      </c>
      <c r="J182" s="71" t="s">
        <v>24</v>
      </c>
      <c r="K182" s="71" t="s">
        <v>23</v>
      </c>
      <c r="L182" s="71" t="s">
        <v>23</v>
      </c>
      <c r="M182" s="71" t="s">
        <v>23</v>
      </c>
      <c r="N182" s="71" t="s">
        <v>23</v>
      </c>
      <c r="O182" s="71" t="s">
        <v>23</v>
      </c>
      <c r="P182" s="71" t="s">
        <v>23</v>
      </c>
      <c r="Q182" s="71" t="s">
        <v>23</v>
      </c>
      <c r="R182" s="72" t="s">
        <v>224</v>
      </c>
      <c r="S182" s="73" t="s">
        <v>59</v>
      </c>
      <c r="T182" s="74"/>
      <c r="U182" s="74"/>
      <c r="V182" s="75">
        <f>V183+V184+V185</f>
        <v>918.59999999999991</v>
      </c>
      <c r="W182" s="74"/>
      <c r="X182" s="74"/>
      <c r="Y182" s="74"/>
      <c r="Z182" s="75">
        <f>V182</f>
        <v>918.59999999999991</v>
      </c>
      <c r="AA182" s="73">
        <v>2017</v>
      </c>
      <c r="AB182" s="48"/>
      <c r="AC182" s="42"/>
      <c r="AD182" s="42"/>
      <c r="AE182" s="43"/>
      <c r="AF182" s="43"/>
    </row>
    <row r="183" spans="1:32" s="65" customFormat="1" ht="45" x14ac:dyDescent="0.25">
      <c r="A183" s="71" t="s">
        <v>23</v>
      </c>
      <c r="B183" s="71" t="s">
        <v>23</v>
      </c>
      <c r="C183" s="71" t="s">
        <v>33</v>
      </c>
      <c r="D183" s="72">
        <v>0</v>
      </c>
      <c r="E183" s="72">
        <v>4</v>
      </c>
      <c r="F183" s="72">
        <v>0</v>
      </c>
      <c r="G183" s="72">
        <v>9</v>
      </c>
      <c r="H183" s="71" t="s">
        <v>23</v>
      </c>
      <c r="I183" s="71" t="s">
        <v>31</v>
      </c>
      <c r="J183" s="71" t="s">
        <v>24</v>
      </c>
      <c r="K183" s="71" t="s">
        <v>23</v>
      </c>
      <c r="L183" s="71" t="s">
        <v>33</v>
      </c>
      <c r="M183" s="71" t="s">
        <v>180</v>
      </c>
      <c r="N183" s="71" t="s">
        <v>23</v>
      </c>
      <c r="O183" s="71" t="s">
        <v>33</v>
      </c>
      <c r="P183" s="71" t="s">
        <v>34</v>
      </c>
      <c r="Q183" s="71" t="s">
        <v>210</v>
      </c>
      <c r="R183" s="72" t="s">
        <v>224</v>
      </c>
      <c r="S183" s="73" t="s">
        <v>59</v>
      </c>
      <c r="T183" s="74"/>
      <c r="U183" s="74"/>
      <c r="V183" s="74">
        <v>440.9</v>
      </c>
      <c r="W183" s="74"/>
      <c r="X183" s="74"/>
      <c r="Y183" s="74"/>
      <c r="Z183" s="75">
        <f t="shared" ref="Z183:Z186" si="34">V183</f>
        <v>440.9</v>
      </c>
      <c r="AA183" s="73">
        <v>2017</v>
      </c>
      <c r="AB183" s="48"/>
      <c r="AC183" s="42"/>
      <c r="AD183" s="42"/>
      <c r="AE183" s="43"/>
      <c r="AF183" s="43"/>
    </row>
    <row r="184" spans="1:32" s="65" customFormat="1" ht="45" x14ac:dyDescent="0.25">
      <c r="A184" s="71" t="s">
        <v>23</v>
      </c>
      <c r="B184" s="71" t="s">
        <v>23</v>
      </c>
      <c r="C184" s="71" t="s">
        <v>33</v>
      </c>
      <c r="D184" s="72">
        <v>0</v>
      </c>
      <c r="E184" s="72">
        <v>4</v>
      </c>
      <c r="F184" s="72">
        <v>0</v>
      </c>
      <c r="G184" s="72">
        <v>9</v>
      </c>
      <c r="H184" s="71" t="s">
        <v>23</v>
      </c>
      <c r="I184" s="71" t="s">
        <v>31</v>
      </c>
      <c r="J184" s="71" t="s">
        <v>24</v>
      </c>
      <c r="K184" s="71" t="s">
        <v>23</v>
      </c>
      <c r="L184" s="71" t="s">
        <v>33</v>
      </c>
      <c r="M184" s="71" t="s">
        <v>180</v>
      </c>
      <c r="N184" s="71" t="s">
        <v>23</v>
      </c>
      <c r="O184" s="71" t="s">
        <v>33</v>
      </c>
      <c r="P184" s="71" t="s">
        <v>34</v>
      </c>
      <c r="Q184" s="71" t="s">
        <v>220</v>
      </c>
      <c r="R184" s="72" t="s">
        <v>224</v>
      </c>
      <c r="S184" s="73" t="s">
        <v>59</v>
      </c>
      <c r="T184" s="74"/>
      <c r="U184" s="74"/>
      <c r="V184" s="74">
        <v>110.3</v>
      </c>
      <c r="W184" s="74"/>
      <c r="X184" s="74"/>
      <c r="Y184" s="74"/>
      <c r="Z184" s="75">
        <f t="shared" si="34"/>
        <v>110.3</v>
      </c>
      <c r="AA184" s="73">
        <v>2017</v>
      </c>
      <c r="AB184" s="48"/>
      <c r="AC184" s="42"/>
      <c r="AD184" s="42"/>
      <c r="AE184" s="43"/>
      <c r="AF184" s="43"/>
    </row>
    <row r="185" spans="1:32" s="65" customFormat="1" ht="45" x14ac:dyDescent="0.25">
      <c r="A185" s="71" t="s">
        <v>23</v>
      </c>
      <c r="B185" s="71" t="s">
        <v>23</v>
      </c>
      <c r="C185" s="71" t="s">
        <v>33</v>
      </c>
      <c r="D185" s="72">
        <v>0</v>
      </c>
      <c r="E185" s="72">
        <v>4</v>
      </c>
      <c r="F185" s="72">
        <v>0</v>
      </c>
      <c r="G185" s="72">
        <v>9</v>
      </c>
      <c r="H185" s="71" t="s">
        <v>23</v>
      </c>
      <c r="I185" s="71" t="s">
        <v>31</v>
      </c>
      <c r="J185" s="71" t="s">
        <v>24</v>
      </c>
      <c r="K185" s="71" t="s">
        <v>23</v>
      </c>
      <c r="L185" s="71" t="s">
        <v>33</v>
      </c>
      <c r="M185" s="71" t="s">
        <v>180</v>
      </c>
      <c r="N185" s="71" t="s">
        <v>23</v>
      </c>
      <c r="O185" s="71" t="s">
        <v>33</v>
      </c>
      <c r="P185" s="71" t="s">
        <v>34</v>
      </c>
      <c r="Q185" s="71" t="s">
        <v>221</v>
      </c>
      <c r="R185" s="72" t="s">
        <v>224</v>
      </c>
      <c r="S185" s="73" t="s">
        <v>59</v>
      </c>
      <c r="T185" s="74"/>
      <c r="U185" s="74"/>
      <c r="V185" s="74">
        <v>367.4</v>
      </c>
      <c r="W185" s="74"/>
      <c r="X185" s="74"/>
      <c r="Y185" s="74"/>
      <c r="Z185" s="75">
        <f t="shared" si="34"/>
        <v>367.4</v>
      </c>
      <c r="AA185" s="73">
        <v>2017</v>
      </c>
      <c r="AB185" s="48"/>
      <c r="AC185" s="42"/>
      <c r="AD185" s="42"/>
      <c r="AE185" s="43"/>
      <c r="AF185" s="43"/>
    </row>
    <row r="186" spans="1:32" s="65" customFormat="1" ht="30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17" t="s">
        <v>188</v>
      </c>
      <c r="S186" s="15" t="s">
        <v>60</v>
      </c>
      <c r="T186" s="8"/>
      <c r="U186" s="8"/>
      <c r="V186" s="8">
        <v>0.4</v>
      </c>
      <c r="W186" s="8"/>
      <c r="X186" s="8"/>
      <c r="Y186" s="8"/>
      <c r="Z186" s="5">
        <f t="shared" si="34"/>
        <v>0.4</v>
      </c>
      <c r="AA186" s="15">
        <v>2017</v>
      </c>
      <c r="AB186" s="48"/>
      <c r="AC186" s="42"/>
      <c r="AD186" s="42"/>
      <c r="AE186" s="43"/>
      <c r="AF186" s="43"/>
    </row>
    <row r="187" spans="1:32" s="65" customFormat="1" ht="30" x14ac:dyDescent="0.25">
      <c r="A187" s="71" t="s">
        <v>23</v>
      </c>
      <c r="B187" s="71" t="s">
        <v>23</v>
      </c>
      <c r="C187" s="71" t="s">
        <v>33</v>
      </c>
      <c r="D187" s="72">
        <v>0</v>
      </c>
      <c r="E187" s="72">
        <v>4</v>
      </c>
      <c r="F187" s="72">
        <v>0</v>
      </c>
      <c r="G187" s="72">
        <v>9</v>
      </c>
      <c r="H187" s="71" t="s">
        <v>23</v>
      </c>
      <c r="I187" s="71" t="s">
        <v>31</v>
      </c>
      <c r="J187" s="71" t="s">
        <v>24</v>
      </c>
      <c r="K187" s="71" t="s">
        <v>23</v>
      </c>
      <c r="L187" s="71" t="s">
        <v>23</v>
      </c>
      <c r="M187" s="71" t="s">
        <v>23</v>
      </c>
      <c r="N187" s="71" t="s">
        <v>23</v>
      </c>
      <c r="O187" s="71" t="s">
        <v>23</v>
      </c>
      <c r="P187" s="71" t="s">
        <v>23</v>
      </c>
      <c r="Q187" s="71" t="s">
        <v>23</v>
      </c>
      <c r="R187" s="72" t="s">
        <v>225</v>
      </c>
      <c r="S187" s="73" t="s">
        <v>59</v>
      </c>
      <c r="T187" s="74"/>
      <c r="U187" s="74"/>
      <c r="V187" s="75">
        <f>V188+V189+V190</f>
        <v>893.8</v>
      </c>
      <c r="W187" s="74"/>
      <c r="X187" s="74"/>
      <c r="Y187" s="74"/>
      <c r="Z187" s="75">
        <f>V187</f>
        <v>893.8</v>
      </c>
      <c r="AA187" s="73">
        <v>2017</v>
      </c>
      <c r="AB187" s="48"/>
      <c r="AC187" s="42"/>
      <c r="AD187" s="42"/>
      <c r="AE187" s="43"/>
      <c r="AF187" s="43"/>
    </row>
    <row r="188" spans="1:32" s="65" customFormat="1" ht="30" x14ac:dyDescent="0.25">
      <c r="A188" s="71" t="s">
        <v>23</v>
      </c>
      <c r="B188" s="71" t="s">
        <v>23</v>
      </c>
      <c r="C188" s="71" t="s">
        <v>33</v>
      </c>
      <c r="D188" s="72">
        <v>0</v>
      </c>
      <c r="E188" s="72">
        <v>4</v>
      </c>
      <c r="F188" s="72">
        <v>0</v>
      </c>
      <c r="G188" s="72">
        <v>9</v>
      </c>
      <c r="H188" s="71" t="s">
        <v>23</v>
      </c>
      <c r="I188" s="71" t="s">
        <v>31</v>
      </c>
      <c r="J188" s="71" t="s">
        <v>24</v>
      </c>
      <c r="K188" s="71" t="s">
        <v>23</v>
      </c>
      <c r="L188" s="71" t="s">
        <v>33</v>
      </c>
      <c r="M188" s="71" t="s">
        <v>180</v>
      </c>
      <c r="N188" s="71" t="s">
        <v>23</v>
      </c>
      <c r="O188" s="71" t="s">
        <v>33</v>
      </c>
      <c r="P188" s="71" t="s">
        <v>34</v>
      </c>
      <c r="Q188" s="71" t="s">
        <v>210</v>
      </c>
      <c r="R188" s="72" t="s">
        <v>225</v>
      </c>
      <c r="S188" s="73" t="s">
        <v>59</v>
      </c>
      <c r="T188" s="74"/>
      <c r="U188" s="74"/>
      <c r="V188" s="74">
        <v>429</v>
      </c>
      <c r="W188" s="74"/>
      <c r="X188" s="74"/>
      <c r="Y188" s="74"/>
      <c r="Z188" s="75">
        <f t="shared" ref="Z188:Z190" si="35">V188</f>
        <v>429</v>
      </c>
      <c r="AA188" s="73">
        <v>2017</v>
      </c>
      <c r="AB188" s="48"/>
      <c r="AC188" s="42"/>
      <c r="AD188" s="42"/>
      <c r="AE188" s="43"/>
      <c r="AF188" s="43"/>
    </row>
    <row r="189" spans="1:32" s="65" customFormat="1" ht="30" x14ac:dyDescent="0.25">
      <c r="A189" s="71" t="s">
        <v>23</v>
      </c>
      <c r="B189" s="71" t="s">
        <v>23</v>
      </c>
      <c r="C189" s="71" t="s">
        <v>33</v>
      </c>
      <c r="D189" s="72">
        <v>0</v>
      </c>
      <c r="E189" s="72">
        <v>4</v>
      </c>
      <c r="F189" s="72">
        <v>0</v>
      </c>
      <c r="G189" s="72">
        <v>9</v>
      </c>
      <c r="H189" s="71" t="s">
        <v>23</v>
      </c>
      <c r="I189" s="71" t="s">
        <v>31</v>
      </c>
      <c r="J189" s="71" t="s">
        <v>24</v>
      </c>
      <c r="K189" s="71" t="s">
        <v>23</v>
      </c>
      <c r="L189" s="71" t="s">
        <v>33</v>
      </c>
      <c r="M189" s="71" t="s">
        <v>180</v>
      </c>
      <c r="N189" s="71" t="s">
        <v>23</v>
      </c>
      <c r="O189" s="71" t="s">
        <v>33</v>
      </c>
      <c r="P189" s="71" t="s">
        <v>34</v>
      </c>
      <c r="Q189" s="71" t="s">
        <v>220</v>
      </c>
      <c r="R189" s="72" t="s">
        <v>225</v>
      </c>
      <c r="S189" s="73" t="s">
        <v>59</v>
      </c>
      <c r="T189" s="74"/>
      <c r="U189" s="74"/>
      <c r="V189" s="74">
        <v>107.3</v>
      </c>
      <c r="W189" s="74"/>
      <c r="X189" s="74"/>
      <c r="Y189" s="74"/>
      <c r="Z189" s="75">
        <f t="shared" si="35"/>
        <v>107.3</v>
      </c>
      <c r="AA189" s="73">
        <v>2017</v>
      </c>
      <c r="AB189" s="48"/>
      <c r="AC189" s="42"/>
      <c r="AD189" s="42"/>
      <c r="AE189" s="43"/>
      <c r="AF189" s="43"/>
    </row>
    <row r="190" spans="1:32" s="65" customFormat="1" ht="30" x14ac:dyDescent="0.25">
      <c r="A190" s="71" t="s">
        <v>23</v>
      </c>
      <c r="B190" s="71" t="s">
        <v>23</v>
      </c>
      <c r="C190" s="71" t="s">
        <v>33</v>
      </c>
      <c r="D190" s="72">
        <v>0</v>
      </c>
      <c r="E190" s="72">
        <v>4</v>
      </c>
      <c r="F190" s="72">
        <v>0</v>
      </c>
      <c r="G190" s="72">
        <v>9</v>
      </c>
      <c r="H190" s="71" t="s">
        <v>23</v>
      </c>
      <c r="I190" s="71" t="s">
        <v>31</v>
      </c>
      <c r="J190" s="71" t="s">
        <v>24</v>
      </c>
      <c r="K190" s="71" t="s">
        <v>23</v>
      </c>
      <c r="L190" s="71" t="s">
        <v>33</v>
      </c>
      <c r="M190" s="71" t="s">
        <v>180</v>
      </c>
      <c r="N190" s="71" t="s">
        <v>23</v>
      </c>
      <c r="O190" s="71" t="s">
        <v>33</v>
      </c>
      <c r="P190" s="71" t="s">
        <v>34</v>
      </c>
      <c r="Q190" s="71" t="s">
        <v>221</v>
      </c>
      <c r="R190" s="72" t="s">
        <v>225</v>
      </c>
      <c r="S190" s="73" t="s">
        <v>59</v>
      </c>
      <c r="T190" s="74"/>
      <c r="U190" s="74"/>
      <c r="V190" s="74">
        <v>357.5</v>
      </c>
      <c r="W190" s="74"/>
      <c r="X190" s="74"/>
      <c r="Y190" s="74"/>
      <c r="Z190" s="75">
        <f t="shared" si="35"/>
        <v>357.5</v>
      </c>
      <c r="AA190" s="73">
        <v>2017</v>
      </c>
      <c r="AB190" s="48"/>
      <c r="AC190" s="42"/>
      <c r="AD190" s="42"/>
      <c r="AE190" s="43"/>
      <c r="AF190" s="43"/>
    </row>
    <row r="191" spans="1:32" s="65" customFormat="1" ht="60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17" t="s">
        <v>238</v>
      </c>
      <c r="S191" s="15" t="s">
        <v>60</v>
      </c>
      <c r="T191" s="8"/>
      <c r="U191" s="8"/>
      <c r="V191" s="8">
        <v>1</v>
      </c>
      <c r="W191" s="8"/>
      <c r="X191" s="8"/>
      <c r="Y191" s="8"/>
      <c r="Z191" s="5">
        <f>V191</f>
        <v>1</v>
      </c>
      <c r="AA191" s="15">
        <v>2017</v>
      </c>
      <c r="AB191" s="48"/>
      <c r="AC191" s="42"/>
      <c r="AD191" s="42"/>
      <c r="AE191" s="43"/>
      <c r="AF191" s="43"/>
    </row>
    <row r="192" spans="1:32" s="65" customFormat="1" ht="45" x14ac:dyDescent="0.25">
      <c r="A192" s="71" t="s">
        <v>23</v>
      </c>
      <c r="B192" s="71" t="s">
        <v>23</v>
      </c>
      <c r="C192" s="71" t="s">
        <v>33</v>
      </c>
      <c r="D192" s="72">
        <v>0</v>
      </c>
      <c r="E192" s="72">
        <v>4</v>
      </c>
      <c r="F192" s="72">
        <v>0</v>
      </c>
      <c r="G192" s="72">
        <v>9</v>
      </c>
      <c r="H192" s="71" t="s">
        <v>23</v>
      </c>
      <c r="I192" s="71" t="s">
        <v>31</v>
      </c>
      <c r="J192" s="71" t="s">
        <v>24</v>
      </c>
      <c r="K192" s="71" t="s">
        <v>23</v>
      </c>
      <c r="L192" s="71" t="s">
        <v>23</v>
      </c>
      <c r="M192" s="71" t="s">
        <v>23</v>
      </c>
      <c r="N192" s="71" t="s">
        <v>23</v>
      </c>
      <c r="O192" s="71" t="s">
        <v>23</v>
      </c>
      <c r="P192" s="71" t="s">
        <v>23</v>
      </c>
      <c r="Q192" s="71" t="s">
        <v>23</v>
      </c>
      <c r="R192" s="72" t="s">
        <v>226</v>
      </c>
      <c r="S192" s="73" t="s">
        <v>59</v>
      </c>
      <c r="T192" s="74"/>
      <c r="U192" s="74"/>
      <c r="V192" s="75">
        <f>V193+V194+V195</f>
        <v>985.8</v>
      </c>
      <c r="W192" s="74"/>
      <c r="X192" s="74"/>
      <c r="Y192" s="74"/>
      <c r="Z192" s="75">
        <f>V192</f>
        <v>985.8</v>
      </c>
      <c r="AA192" s="73">
        <v>2017</v>
      </c>
      <c r="AB192" s="48"/>
      <c r="AC192" s="42"/>
      <c r="AD192" s="42"/>
      <c r="AE192" s="43"/>
      <c r="AF192" s="43"/>
    </row>
    <row r="193" spans="1:32" s="65" customFormat="1" ht="45" x14ac:dyDescent="0.25">
      <c r="A193" s="71" t="s">
        <v>23</v>
      </c>
      <c r="B193" s="71" t="s">
        <v>23</v>
      </c>
      <c r="C193" s="71" t="s">
        <v>33</v>
      </c>
      <c r="D193" s="72">
        <v>0</v>
      </c>
      <c r="E193" s="72">
        <v>4</v>
      </c>
      <c r="F193" s="72">
        <v>0</v>
      </c>
      <c r="G193" s="72">
        <v>9</v>
      </c>
      <c r="H193" s="71" t="s">
        <v>23</v>
      </c>
      <c r="I193" s="71" t="s">
        <v>31</v>
      </c>
      <c r="J193" s="71" t="s">
        <v>24</v>
      </c>
      <c r="K193" s="71" t="s">
        <v>23</v>
      </c>
      <c r="L193" s="71" t="s">
        <v>33</v>
      </c>
      <c r="M193" s="71" t="s">
        <v>180</v>
      </c>
      <c r="N193" s="71" t="s">
        <v>23</v>
      </c>
      <c r="O193" s="71" t="s">
        <v>33</v>
      </c>
      <c r="P193" s="71" t="s">
        <v>34</v>
      </c>
      <c r="Q193" s="71" t="s">
        <v>210</v>
      </c>
      <c r="R193" s="72" t="s">
        <v>226</v>
      </c>
      <c r="S193" s="73" t="s">
        <v>59</v>
      </c>
      <c r="T193" s="74"/>
      <c r="U193" s="74"/>
      <c r="V193" s="74">
        <v>473.2</v>
      </c>
      <c r="W193" s="74"/>
      <c r="X193" s="74"/>
      <c r="Y193" s="74"/>
      <c r="Z193" s="75">
        <f t="shared" ref="Z193:Z195" si="36">V193</f>
        <v>473.2</v>
      </c>
      <c r="AA193" s="73">
        <v>2017</v>
      </c>
      <c r="AB193" s="48"/>
      <c r="AC193" s="42"/>
      <c r="AD193" s="42"/>
      <c r="AE193" s="43"/>
      <c r="AF193" s="43"/>
    </row>
    <row r="194" spans="1:32" s="65" customFormat="1" ht="45" x14ac:dyDescent="0.25">
      <c r="A194" s="71" t="s">
        <v>23</v>
      </c>
      <c r="B194" s="71" t="s">
        <v>23</v>
      </c>
      <c r="C194" s="71" t="s">
        <v>33</v>
      </c>
      <c r="D194" s="72">
        <v>0</v>
      </c>
      <c r="E194" s="72">
        <v>4</v>
      </c>
      <c r="F194" s="72">
        <v>0</v>
      </c>
      <c r="G194" s="72">
        <v>9</v>
      </c>
      <c r="H194" s="71" t="s">
        <v>23</v>
      </c>
      <c r="I194" s="71" t="s">
        <v>31</v>
      </c>
      <c r="J194" s="71" t="s">
        <v>24</v>
      </c>
      <c r="K194" s="71" t="s">
        <v>23</v>
      </c>
      <c r="L194" s="71" t="s">
        <v>33</v>
      </c>
      <c r="M194" s="71" t="s">
        <v>180</v>
      </c>
      <c r="N194" s="71" t="s">
        <v>23</v>
      </c>
      <c r="O194" s="71" t="s">
        <v>33</v>
      </c>
      <c r="P194" s="71" t="s">
        <v>34</v>
      </c>
      <c r="Q194" s="71" t="s">
        <v>220</v>
      </c>
      <c r="R194" s="72" t="s">
        <v>226</v>
      </c>
      <c r="S194" s="73" t="s">
        <v>59</v>
      </c>
      <c r="T194" s="74"/>
      <c r="U194" s="74"/>
      <c r="V194" s="74">
        <v>118.3</v>
      </c>
      <c r="W194" s="74"/>
      <c r="X194" s="74"/>
      <c r="Y194" s="74"/>
      <c r="Z194" s="75">
        <f t="shared" si="36"/>
        <v>118.3</v>
      </c>
      <c r="AA194" s="73">
        <v>2017</v>
      </c>
      <c r="AB194" s="48"/>
      <c r="AC194" s="42"/>
      <c r="AD194" s="42"/>
      <c r="AE194" s="43"/>
      <c r="AF194" s="43"/>
    </row>
    <row r="195" spans="1:32" s="65" customFormat="1" ht="45" x14ac:dyDescent="0.25">
      <c r="A195" s="71" t="s">
        <v>23</v>
      </c>
      <c r="B195" s="71" t="s">
        <v>23</v>
      </c>
      <c r="C195" s="71" t="s">
        <v>33</v>
      </c>
      <c r="D195" s="72">
        <v>0</v>
      </c>
      <c r="E195" s="72">
        <v>4</v>
      </c>
      <c r="F195" s="72">
        <v>0</v>
      </c>
      <c r="G195" s="72">
        <v>9</v>
      </c>
      <c r="H195" s="71" t="s">
        <v>23</v>
      </c>
      <c r="I195" s="71" t="s">
        <v>31</v>
      </c>
      <c r="J195" s="71" t="s">
        <v>24</v>
      </c>
      <c r="K195" s="71" t="s">
        <v>23</v>
      </c>
      <c r="L195" s="71" t="s">
        <v>33</v>
      </c>
      <c r="M195" s="71" t="s">
        <v>180</v>
      </c>
      <c r="N195" s="71" t="s">
        <v>23</v>
      </c>
      <c r="O195" s="71" t="s">
        <v>33</v>
      </c>
      <c r="P195" s="71" t="s">
        <v>34</v>
      </c>
      <c r="Q195" s="71" t="s">
        <v>221</v>
      </c>
      <c r="R195" s="72" t="s">
        <v>226</v>
      </c>
      <c r="S195" s="73" t="s">
        <v>59</v>
      </c>
      <c r="T195" s="74"/>
      <c r="U195" s="74"/>
      <c r="V195" s="74">
        <v>394.3</v>
      </c>
      <c r="W195" s="74"/>
      <c r="X195" s="74"/>
      <c r="Y195" s="74"/>
      <c r="Z195" s="75">
        <f t="shared" si="36"/>
        <v>394.3</v>
      </c>
      <c r="AA195" s="73">
        <v>2017</v>
      </c>
      <c r="AB195" s="48"/>
      <c r="AC195" s="42"/>
      <c r="AD195" s="42"/>
      <c r="AE195" s="43"/>
      <c r="AF195" s="43"/>
    </row>
    <row r="196" spans="1:32" s="65" customFormat="1" ht="60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17" t="s">
        <v>238</v>
      </c>
      <c r="S196" s="15" t="s">
        <v>60</v>
      </c>
      <c r="T196" s="8"/>
      <c r="U196" s="8"/>
      <c r="V196" s="8">
        <v>0.6</v>
      </c>
      <c r="W196" s="8"/>
      <c r="X196" s="8"/>
      <c r="Y196" s="8"/>
      <c r="Z196" s="5">
        <f>V196</f>
        <v>0.6</v>
      </c>
      <c r="AA196" s="15">
        <v>2017</v>
      </c>
      <c r="AB196" s="48"/>
      <c r="AC196" s="42"/>
      <c r="AD196" s="42"/>
      <c r="AE196" s="43"/>
      <c r="AF196" s="43"/>
    </row>
    <row r="197" spans="1:32" s="65" customFormat="1" ht="45" x14ac:dyDescent="0.25">
      <c r="A197" s="71" t="s">
        <v>23</v>
      </c>
      <c r="B197" s="71" t="s">
        <v>23</v>
      </c>
      <c r="C197" s="71" t="s">
        <v>33</v>
      </c>
      <c r="D197" s="72">
        <v>0</v>
      </c>
      <c r="E197" s="72">
        <v>4</v>
      </c>
      <c r="F197" s="72">
        <v>0</v>
      </c>
      <c r="G197" s="72">
        <v>9</v>
      </c>
      <c r="H197" s="71" t="s">
        <v>23</v>
      </c>
      <c r="I197" s="71" t="s">
        <v>31</v>
      </c>
      <c r="J197" s="71" t="s">
        <v>24</v>
      </c>
      <c r="K197" s="71" t="s">
        <v>23</v>
      </c>
      <c r="L197" s="71" t="s">
        <v>23</v>
      </c>
      <c r="M197" s="71" t="s">
        <v>23</v>
      </c>
      <c r="N197" s="71" t="s">
        <v>23</v>
      </c>
      <c r="O197" s="71" t="s">
        <v>23</v>
      </c>
      <c r="P197" s="71" t="s">
        <v>23</v>
      </c>
      <c r="Q197" s="71" t="s">
        <v>23</v>
      </c>
      <c r="R197" s="72" t="s">
        <v>227</v>
      </c>
      <c r="S197" s="73" t="s">
        <v>59</v>
      </c>
      <c r="T197" s="74"/>
      <c r="U197" s="74"/>
      <c r="V197" s="75">
        <f>V198+V199+V200</f>
        <v>789.3</v>
      </c>
      <c r="W197" s="74"/>
      <c r="X197" s="74"/>
      <c r="Y197" s="74"/>
      <c r="Z197" s="75">
        <f>V197</f>
        <v>789.3</v>
      </c>
      <c r="AA197" s="73">
        <v>2017</v>
      </c>
      <c r="AB197" s="48"/>
      <c r="AC197" s="42"/>
      <c r="AD197" s="42"/>
      <c r="AE197" s="43"/>
      <c r="AF197" s="43"/>
    </row>
    <row r="198" spans="1:32" s="65" customFormat="1" ht="45" x14ac:dyDescent="0.25">
      <c r="A198" s="71" t="s">
        <v>23</v>
      </c>
      <c r="B198" s="71" t="s">
        <v>23</v>
      </c>
      <c r="C198" s="71" t="s">
        <v>33</v>
      </c>
      <c r="D198" s="72">
        <v>0</v>
      </c>
      <c r="E198" s="72">
        <v>4</v>
      </c>
      <c r="F198" s="72">
        <v>0</v>
      </c>
      <c r="G198" s="72">
        <v>9</v>
      </c>
      <c r="H198" s="71" t="s">
        <v>23</v>
      </c>
      <c r="I198" s="71" t="s">
        <v>31</v>
      </c>
      <c r="J198" s="71" t="s">
        <v>24</v>
      </c>
      <c r="K198" s="71" t="s">
        <v>23</v>
      </c>
      <c r="L198" s="71" t="s">
        <v>33</v>
      </c>
      <c r="M198" s="71" t="s">
        <v>180</v>
      </c>
      <c r="N198" s="71" t="s">
        <v>23</v>
      </c>
      <c r="O198" s="71" t="s">
        <v>33</v>
      </c>
      <c r="P198" s="71" t="s">
        <v>34</v>
      </c>
      <c r="Q198" s="71" t="s">
        <v>210</v>
      </c>
      <c r="R198" s="72" t="s">
        <v>227</v>
      </c>
      <c r="S198" s="73" t="s">
        <v>59</v>
      </c>
      <c r="T198" s="74"/>
      <c r="U198" s="74"/>
      <c r="V198" s="74">
        <v>394.6</v>
      </c>
      <c r="W198" s="74"/>
      <c r="X198" s="74"/>
      <c r="Y198" s="74"/>
      <c r="Z198" s="75">
        <f t="shared" ref="Z198:Z200" si="37">V198</f>
        <v>394.6</v>
      </c>
      <c r="AA198" s="73">
        <v>2017</v>
      </c>
      <c r="AB198" s="48"/>
      <c r="AC198" s="42"/>
      <c r="AD198" s="42"/>
      <c r="AE198" s="43"/>
      <c r="AF198" s="43"/>
    </row>
    <row r="199" spans="1:32" s="65" customFormat="1" ht="45" x14ac:dyDescent="0.25">
      <c r="A199" s="71" t="s">
        <v>23</v>
      </c>
      <c r="B199" s="71" t="s">
        <v>23</v>
      </c>
      <c r="C199" s="71" t="s">
        <v>33</v>
      </c>
      <c r="D199" s="72">
        <v>0</v>
      </c>
      <c r="E199" s="72">
        <v>4</v>
      </c>
      <c r="F199" s="72">
        <v>0</v>
      </c>
      <c r="G199" s="72">
        <v>9</v>
      </c>
      <c r="H199" s="71" t="s">
        <v>23</v>
      </c>
      <c r="I199" s="71" t="s">
        <v>31</v>
      </c>
      <c r="J199" s="71" t="s">
        <v>24</v>
      </c>
      <c r="K199" s="71" t="s">
        <v>23</v>
      </c>
      <c r="L199" s="71" t="s">
        <v>33</v>
      </c>
      <c r="M199" s="71" t="s">
        <v>180</v>
      </c>
      <c r="N199" s="71" t="s">
        <v>23</v>
      </c>
      <c r="O199" s="71" t="s">
        <v>33</v>
      </c>
      <c r="P199" s="71" t="s">
        <v>34</v>
      </c>
      <c r="Q199" s="71" t="s">
        <v>220</v>
      </c>
      <c r="R199" s="72" t="s">
        <v>227</v>
      </c>
      <c r="S199" s="73" t="s">
        <v>59</v>
      </c>
      <c r="T199" s="74"/>
      <c r="U199" s="74"/>
      <c r="V199" s="74">
        <v>79</v>
      </c>
      <c r="W199" s="74"/>
      <c r="X199" s="74"/>
      <c r="Y199" s="74"/>
      <c r="Z199" s="75">
        <f t="shared" si="37"/>
        <v>79</v>
      </c>
      <c r="AA199" s="73">
        <v>2017</v>
      </c>
      <c r="AB199" s="48"/>
      <c r="AC199" s="42"/>
      <c r="AD199" s="42"/>
      <c r="AE199" s="43"/>
      <c r="AF199" s="43"/>
    </row>
    <row r="200" spans="1:32" s="65" customFormat="1" ht="45" x14ac:dyDescent="0.25">
      <c r="A200" s="71" t="s">
        <v>23</v>
      </c>
      <c r="B200" s="71" t="s">
        <v>23</v>
      </c>
      <c r="C200" s="71" t="s">
        <v>33</v>
      </c>
      <c r="D200" s="72">
        <v>0</v>
      </c>
      <c r="E200" s="72">
        <v>4</v>
      </c>
      <c r="F200" s="72">
        <v>0</v>
      </c>
      <c r="G200" s="72">
        <v>9</v>
      </c>
      <c r="H200" s="71" t="s">
        <v>23</v>
      </c>
      <c r="I200" s="71" t="s">
        <v>31</v>
      </c>
      <c r="J200" s="71" t="s">
        <v>24</v>
      </c>
      <c r="K200" s="71" t="s">
        <v>23</v>
      </c>
      <c r="L200" s="71" t="s">
        <v>33</v>
      </c>
      <c r="M200" s="71" t="s">
        <v>180</v>
      </c>
      <c r="N200" s="71" t="s">
        <v>23</v>
      </c>
      <c r="O200" s="71" t="s">
        <v>33</v>
      </c>
      <c r="P200" s="71" t="s">
        <v>34</v>
      </c>
      <c r="Q200" s="71" t="s">
        <v>221</v>
      </c>
      <c r="R200" s="72" t="s">
        <v>227</v>
      </c>
      <c r="S200" s="73" t="s">
        <v>59</v>
      </c>
      <c r="T200" s="74"/>
      <c r="U200" s="74"/>
      <c r="V200" s="74">
        <v>315.7</v>
      </c>
      <c r="W200" s="74"/>
      <c r="X200" s="74"/>
      <c r="Y200" s="74"/>
      <c r="Z200" s="75">
        <f t="shared" si="37"/>
        <v>315.7</v>
      </c>
      <c r="AA200" s="73">
        <v>2017</v>
      </c>
      <c r="AB200" s="48"/>
      <c r="AC200" s="42"/>
      <c r="AD200" s="42"/>
      <c r="AE200" s="43"/>
      <c r="AF200" s="43"/>
    </row>
    <row r="201" spans="1:32" s="65" customFormat="1" ht="30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17" t="s">
        <v>188</v>
      </c>
      <c r="S201" s="15" t="s">
        <v>60</v>
      </c>
      <c r="T201" s="8"/>
      <c r="U201" s="8"/>
      <c r="V201" s="8">
        <v>0.6</v>
      </c>
      <c r="W201" s="8"/>
      <c r="X201" s="8"/>
      <c r="Y201" s="8"/>
      <c r="Z201" s="5">
        <f>V201</f>
        <v>0.6</v>
      </c>
      <c r="AA201" s="15">
        <v>2017</v>
      </c>
      <c r="AB201" s="48"/>
      <c r="AC201" s="42"/>
      <c r="AD201" s="42"/>
      <c r="AE201" s="43"/>
      <c r="AF201" s="43"/>
    </row>
    <row r="202" spans="1:32" s="65" customFormat="1" ht="45" x14ac:dyDescent="0.25">
      <c r="A202" s="71" t="s">
        <v>23</v>
      </c>
      <c r="B202" s="71" t="s">
        <v>23</v>
      </c>
      <c r="C202" s="71" t="s">
        <v>33</v>
      </c>
      <c r="D202" s="72">
        <v>0</v>
      </c>
      <c r="E202" s="72">
        <v>4</v>
      </c>
      <c r="F202" s="72">
        <v>0</v>
      </c>
      <c r="G202" s="72">
        <v>9</v>
      </c>
      <c r="H202" s="71" t="s">
        <v>23</v>
      </c>
      <c r="I202" s="71" t="s">
        <v>31</v>
      </c>
      <c r="J202" s="71" t="s">
        <v>24</v>
      </c>
      <c r="K202" s="71" t="s">
        <v>23</v>
      </c>
      <c r="L202" s="71" t="s">
        <v>23</v>
      </c>
      <c r="M202" s="71" t="s">
        <v>23</v>
      </c>
      <c r="N202" s="71" t="s">
        <v>23</v>
      </c>
      <c r="O202" s="71" t="s">
        <v>23</v>
      </c>
      <c r="P202" s="71" t="s">
        <v>23</v>
      </c>
      <c r="Q202" s="71" t="s">
        <v>23</v>
      </c>
      <c r="R202" s="72" t="s">
        <v>228</v>
      </c>
      <c r="S202" s="73" t="s">
        <v>59</v>
      </c>
      <c r="T202" s="74"/>
      <c r="U202" s="74"/>
      <c r="V202" s="75">
        <f>V203+V204+V205</f>
        <v>997.4</v>
      </c>
      <c r="W202" s="74"/>
      <c r="X202" s="74"/>
      <c r="Y202" s="74"/>
      <c r="Z202" s="75">
        <f>V202</f>
        <v>997.4</v>
      </c>
      <c r="AA202" s="73">
        <v>2017</v>
      </c>
      <c r="AB202" s="48"/>
      <c r="AC202" s="42"/>
      <c r="AD202" s="42"/>
      <c r="AE202" s="43"/>
      <c r="AF202" s="43"/>
    </row>
    <row r="203" spans="1:32" s="65" customFormat="1" ht="45" x14ac:dyDescent="0.25">
      <c r="A203" s="71" t="s">
        <v>23</v>
      </c>
      <c r="B203" s="71" t="s">
        <v>23</v>
      </c>
      <c r="C203" s="71" t="s">
        <v>33</v>
      </c>
      <c r="D203" s="72">
        <v>0</v>
      </c>
      <c r="E203" s="72">
        <v>4</v>
      </c>
      <c r="F203" s="72">
        <v>0</v>
      </c>
      <c r="G203" s="72">
        <v>9</v>
      </c>
      <c r="H203" s="71" t="s">
        <v>23</v>
      </c>
      <c r="I203" s="71" t="s">
        <v>31</v>
      </c>
      <c r="J203" s="71" t="s">
        <v>24</v>
      </c>
      <c r="K203" s="71" t="s">
        <v>23</v>
      </c>
      <c r="L203" s="71" t="s">
        <v>33</v>
      </c>
      <c r="M203" s="71" t="s">
        <v>180</v>
      </c>
      <c r="N203" s="71" t="s">
        <v>23</v>
      </c>
      <c r="O203" s="71" t="s">
        <v>33</v>
      </c>
      <c r="P203" s="71" t="s">
        <v>34</v>
      </c>
      <c r="Q203" s="71" t="s">
        <v>210</v>
      </c>
      <c r="R203" s="72" t="s">
        <v>228</v>
      </c>
      <c r="S203" s="73" t="s">
        <v>59</v>
      </c>
      <c r="T203" s="74"/>
      <c r="U203" s="74"/>
      <c r="V203" s="74">
        <v>498.7</v>
      </c>
      <c r="W203" s="74"/>
      <c r="X203" s="74"/>
      <c r="Y203" s="74"/>
      <c r="Z203" s="75">
        <f t="shared" ref="Z203:Z205" si="38">V203</f>
        <v>498.7</v>
      </c>
      <c r="AA203" s="73">
        <v>2017</v>
      </c>
      <c r="AB203" s="48"/>
      <c r="AC203" s="42"/>
      <c r="AD203" s="42"/>
      <c r="AE203" s="43"/>
      <c r="AF203" s="43"/>
    </row>
    <row r="204" spans="1:32" s="65" customFormat="1" ht="45" x14ac:dyDescent="0.25">
      <c r="A204" s="71" t="s">
        <v>23</v>
      </c>
      <c r="B204" s="71" t="s">
        <v>23</v>
      </c>
      <c r="C204" s="71" t="s">
        <v>33</v>
      </c>
      <c r="D204" s="72">
        <v>0</v>
      </c>
      <c r="E204" s="72">
        <v>4</v>
      </c>
      <c r="F204" s="72">
        <v>0</v>
      </c>
      <c r="G204" s="72">
        <v>9</v>
      </c>
      <c r="H204" s="71" t="s">
        <v>23</v>
      </c>
      <c r="I204" s="71" t="s">
        <v>31</v>
      </c>
      <c r="J204" s="71" t="s">
        <v>24</v>
      </c>
      <c r="K204" s="71" t="s">
        <v>23</v>
      </c>
      <c r="L204" s="71" t="s">
        <v>33</v>
      </c>
      <c r="M204" s="71" t="s">
        <v>180</v>
      </c>
      <c r="N204" s="71" t="s">
        <v>23</v>
      </c>
      <c r="O204" s="71" t="s">
        <v>33</v>
      </c>
      <c r="P204" s="71" t="s">
        <v>34</v>
      </c>
      <c r="Q204" s="71" t="s">
        <v>220</v>
      </c>
      <c r="R204" s="72" t="s">
        <v>228</v>
      </c>
      <c r="S204" s="73" t="s">
        <v>59</v>
      </c>
      <c r="T204" s="74"/>
      <c r="U204" s="74"/>
      <c r="V204" s="74">
        <v>99.8</v>
      </c>
      <c r="W204" s="74"/>
      <c r="X204" s="74"/>
      <c r="Y204" s="74"/>
      <c r="Z204" s="75">
        <f t="shared" si="38"/>
        <v>99.8</v>
      </c>
      <c r="AA204" s="73">
        <v>2017</v>
      </c>
      <c r="AB204" s="48"/>
      <c r="AC204" s="42"/>
      <c r="AD204" s="42"/>
      <c r="AE204" s="43"/>
      <c r="AF204" s="43"/>
    </row>
    <row r="205" spans="1:32" s="65" customFormat="1" ht="45" x14ac:dyDescent="0.25">
      <c r="A205" s="71" t="s">
        <v>23</v>
      </c>
      <c r="B205" s="71" t="s">
        <v>23</v>
      </c>
      <c r="C205" s="71" t="s">
        <v>33</v>
      </c>
      <c r="D205" s="72">
        <v>0</v>
      </c>
      <c r="E205" s="72">
        <v>4</v>
      </c>
      <c r="F205" s="72">
        <v>0</v>
      </c>
      <c r="G205" s="72">
        <v>9</v>
      </c>
      <c r="H205" s="71" t="s">
        <v>23</v>
      </c>
      <c r="I205" s="71" t="s">
        <v>31</v>
      </c>
      <c r="J205" s="71" t="s">
        <v>24</v>
      </c>
      <c r="K205" s="71" t="s">
        <v>23</v>
      </c>
      <c r="L205" s="71" t="s">
        <v>33</v>
      </c>
      <c r="M205" s="71" t="s">
        <v>180</v>
      </c>
      <c r="N205" s="71" t="s">
        <v>23</v>
      </c>
      <c r="O205" s="71" t="s">
        <v>33</v>
      </c>
      <c r="P205" s="71" t="s">
        <v>34</v>
      </c>
      <c r="Q205" s="71" t="s">
        <v>221</v>
      </c>
      <c r="R205" s="72" t="s">
        <v>228</v>
      </c>
      <c r="S205" s="73" t="s">
        <v>59</v>
      </c>
      <c r="T205" s="74"/>
      <c r="U205" s="74"/>
      <c r="V205" s="74">
        <v>398.9</v>
      </c>
      <c r="W205" s="74"/>
      <c r="X205" s="74"/>
      <c r="Y205" s="74"/>
      <c r="Z205" s="75">
        <f t="shared" si="38"/>
        <v>398.9</v>
      </c>
      <c r="AA205" s="73">
        <v>2017</v>
      </c>
      <c r="AB205" s="48"/>
      <c r="AC205" s="42"/>
      <c r="AD205" s="42"/>
      <c r="AE205" s="43"/>
      <c r="AF205" s="43"/>
    </row>
    <row r="206" spans="1:32" s="65" customFormat="1" ht="60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17" t="s">
        <v>238</v>
      </c>
      <c r="S206" s="15" t="s">
        <v>60</v>
      </c>
      <c r="T206" s="8"/>
      <c r="U206" s="8"/>
      <c r="V206" s="8">
        <v>0.7</v>
      </c>
      <c r="W206" s="8"/>
      <c r="X206" s="8"/>
      <c r="Y206" s="8"/>
      <c r="Z206" s="5">
        <f>V206</f>
        <v>0.7</v>
      </c>
      <c r="AA206" s="15">
        <v>2017</v>
      </c>
      <c r="AB206" s="48"/>
      <c r="AC206" s="42"/>
      <c r="AD206" s="42"/>
      <c r="AE206" s="43"/>
      <c r="AF206" s="43"/>
    </row>
    <row r="207" spans="1:32" s="65" customFormat="1" ht="45" x14ac:dyDescent="0.25">
      <c r="A207" s="71" t="s">
        <v>23</v>
      </c>
      <c r="B207" s="71" t="s">
        <v>23</v>
      </c>
      <c r="C207" s="71" t="s">
        <v>30</v>
      </c>
      <c r="D207" s="72">
        <v>0</v>
      </c>
      <c r="E207" s="72">
        <v>4</v>
      </c>
      <c r="F207" s="72">
        <v>0</v>
      </c>
      <c r="G207" s="72">
        <v>9</v>
      </c>
      <c r="H207" s="71" t="s">
        <v>23</v>
      </c>
      <c r="I207" s="71" t="s">
        <v>31</v>
      </c>
      <c r="J207" s="71" t="s">
        <v>24</v>
      </c>
      <c r="K207" s="71" t="s">
        <v>23</v>
      </c>
      <c r="L207" s="71" t="s">
        <v>23</v>
      </c>
      <c r="M207" s="71" t="s">
        <v>23</v>
      </c>
      <c r="N207" s="71" t="s">
        <v>23</v>
      </c>
      <c r="O207" s="71" t="s">
        <v>23</v>
      </c>
      <c r="P207" s="71" t="s">
        <v>23</v>
      </c>
      <c r="Q207" s="71" t="s">
        <v>23</v>
      </c>
      <c r="R207" s="72" t="s">
        <v>229</v>
      </c>
      <c r="S207" s="73" t="s">
        <v>59</v>
      </c>
      <c r="T207" s="74"/>
      <c r="U207" s="74"/>
      <c r="V207" s="75">
        <f>V208+V209+V210+V211</f>
        <v>865.30000000000007</v>
      </c>
      <c r="W207" s="74"/>
      <c r="X207" s="74"/>
      <c r="Y207" s="74"/>
      <c r="Z207" s="75">
        <f>V207</f>
        <v>865.30000000000007</v>
      </c>
      <c r="AA207" s="73">
        <v>2017</v>
      </c>
      <c r="AB207" s="48"/>
      <c r="AC207" s="42"/>
      <c r="AD207" s="42"/>
      <c r="AE207" s="43"/>
      <c r="AF207" s="43"/>
    </row>
    <row r="208" spans="1:32" s="65" customFormat="1" ht="45" x14ac:dyDescent="0.25">
      <c r="A208" s="71" t="s">
        <v>23</v>
      </c>
      <c r="B208" s="71" t="s">
        <v>23</v>
      </c>
      <c r="C208" s="71" t="s">
        <v>30</v>
      </c>
      <c r="D208" s="72">
        <v>0</v>
      </c>
      <c r="E208" s="72">
        <v>4</v>
      </c>
      <c r="F208" s="72">
        <v>0</v>
      </c>
      <c r="G208" s="72">
        <v>9</v>
      </c>
      <c r="H208" s="71" t="s">
        <v>23</v>
      </c>
      <c r="I208" s="71" t="s">
        <v>31</v>
      </c>
      <c r="J208" s="71" t="s">
        <v>24</v>
      </c>
      <c r="K208" s="71" t="s">
        <v>23</v>
      </c>
      <c r="L208" s="71" t="s">
        <v>33</v>
      </c>
      <c r="M208" s="71" t="s">
        <v>180</v>
      </c>
      <c r="N208" s="71" t="s">
        <v>23</v>
      </c>
      <c r="O208" s="71" t="s">
        <v>33</v>
      </c>
      <c r="P208" s="71" t="s">
        <v>34</v>
      </c>
      <c r="Q208" s="71" t="s">
        <v>210</v>
      </c>
      <c r="R208" s="72" t="s">
        <v>229</v>
      </c>
      <c r="S208" s="73" t="s">
        <v>59</v>
      </c>
      <c r="T208" s="74"/>
      <c r="U208" s="74"/>
      <c r="V208" s="74">
        <v>194.2</v>
      </c>
      <c r="W208" s="74"/>
      <c r="X208" s="74"/>
      <c r="Y208" s="74"/>
      <c r="Z208" s="75">
        <f t="shared" ref="Z208:Z212" si="39">V208</f>
        <v>194.2</v>
      </c>
      <c r="AA208" s="73">
        <v>2017</v>
      </c>
      <c r="AB208" s="48"/>
      <c r="AC208" s="42"/>
      <c r="AD208" s="42"/>
      <c r="AE208" s="43"/>
      <c r="AF208" s="43"/>
    </row>
    <row r="209" spans="1:32" s="65" customFormat="1" ht="45" x14ac:dyDescent="0.25">
      <c r="A209" s="71" t="s">
        <v>23</v>
      </c>
      <c r="B209" s="71" t="s">
        <v>23</v>
      </c>
      <c r="C209" s="71" t="s">
        <v>30</v>
      </c>
      <c r="D209" s="72">
        <v>0</v>
      </c>
      <c r="E209" s="72">
        <v>4</v>
      </c>
      <c r="F209" s="72">
        <v>0</v>
      </c>
      <c r="G209" s="72">
        <v>9</v>
      </c>
      <c r="H209" s="71" t="s">
        <v>23</v>
      </c>
      <c r="I209" s="71" t="s">
        <v>31</v>
      </c>
      <c r="J209" s="71" t="s">
        <v>24</v>
      </c>
      <c r="K209" s="71" t="s">
        <v>23</v>
      </c>
      <c r="L209" s="71" t="s">
        <v>33</v>
      </c>
      <c r="M209" s="71" t="s">
        <v>180</v>
      </c>
      <c r="N209" s="71" t="s">
        <v>23</v>
      </c>
      <c r="O209" s="71" t="s">
        <v>33</v>
      </c>
      <c r="P209" s="71" t="s">
        <v>34</v>
      </c>
      <c r="Q209" s="71" t="s">
        <v>220</v>
      </c>
      <c r="R209" s="72" t="s">
        <v>229</v>
      </c>
      <c r="S209" s="73" t="s">
        <v>59</v>
      </c>
      <c r="T209" s="74"/>
      <c r="U209" s="74"/>
      <c r="V209" s="74">
        <v>285</v>
      </c>
      <c r="W209" s="74"/>
      <c r="X209" s="74"/>
      <c r="Y209" s="74"/>
      <c r="Z209" s="75">
        <f t="shared" si="39"/>
        <v>285</v>
      </c>
      <c r="AA209" s="73">
        <v>2017</v>
      </c>
      <c r="AB209" s="48"/>
      <c r="AC209" s="42"/>
      <c r="AD209" s="42"/>
      <c r="AE209" s="43"/>
      <c r="AF209" s="43"/>
    </row>
    <row r="210" spans="1:32" s="65" customFormat="1" ht="45" x14ac:dyDescent="0.25">
      <c r="A210" s="71" t="s">
        <v>23</v>
      </c>
      <c r="B210" s="71" t="s">
        <v>23</v>
      </c>
      <c r="C210" s="71" t="s">
        <v>30</v>
      </c>
      <c r="D210" s="72">
        <v>0</v>
      </c>
      <c r="E210" s="72">
        <v>4</v>
      </c>
      <c r="F210" s="72">
        <v>0</v>
      </c>
      <c r="G210" s="72">
        <v>9</v>
      </c>
      <c r="H210" s="71" t="s">
        <v>23</v>
      </c>
      <c r="I210" s="71" t="s">
        <v>31</v>
      </c>
      <c r="J210" s="71" t="s">
        <v>24</v>
      </c>
      <c r="K210" s="71" t="s">
        <v>23</v>
      </c>
      <c r="L210" s="71" t="s">
        <v>33</v>
      </c>
      <c r="M210" s="71" t="s">
        <v>24</v>
      </c>
      <c r="N210" s="71" t="s">
        <v>23</v>
      </c>
      <c r="O210" s="71" t="s">
        <v>32</v>
      </c>
      <c r="P210" s="71" t="s">
        <v>34</v>
      </c>
      <c r="Q210" s="71" t="s">
        <v>181</v>
      </c>
      <c r="R210" s="72" t="s">
        <v>229</v>
      </c>
      <c r="S210" s="73" t="s">
        <v>59</v>
      </c>
      <c r="T210" s="74"/>
      <c r="U210" s="74"/>
      <c r="V210" s="74">
        <v>40</v>
      </c>
      <c r="W210" s="74"/>
      <c r="X210" s="74"/>
      <c r="Y210" s="74"/>
      <c r="Z210" s="75">
        <f t="shared" si="39"/>
        <v>40</v>
      </c>
      <c r="AA210" s="73">
        <v>2017</v>
      </c>
      <c r="AB210" s="48"/>
      <c r="AC210" s="42"/>
      <c r="AD210" s="42"/>
      <c r="AE210" s="43"/>
      <c r="AF210" s="43"/>
    </row>
    <row r="211" spans="1:32" s="65" customFormat="1" ht="45" x14ac:dyDescent="0.25">
      <c r="A211" s="71" t="s">
        <v>23</v>
      </c>
      <c r="B211" s="71" t="s">
        <v>23</v>
      </c>
      <c r="C211" s="71" t="s">
        <v>30</v>
      </c>
      <c r="D211" s="72">
        <v>0</v>
      </c>
      <c r="E211" s="72">
        <v>4</v>
      </c>
      <c r="F211" s="72">
        <v>0</v>
      </c>
      <c r="G211" s="72">
        <v>9</v>
      </c>
      <c r="H211" s="71" t="s">
        <v>23</v>
      </c>
      <c r="I211" s="71" t="s">
        <v>31</v>
      </c>
      <c r="J211" s="71" t="s">
        <v>24</v>
      </c>
      <c r="K211" s="71" t="s">
        <v>23</v>
      </c>
      <c r="L211" s="71" t="s">
        <v>33</v>
      </c>
      <c r="M211" s="71" t="s">
        <v>180</v>
      </c>
      <c r="N211" s="71" t="s">
        <v>23</v>
      </c>
      <c r="O211" s="71" t="s">
        <v>33</v>
      </c>
      <c r="P211" s="71" t="s">
        <v>34</v>
      </c>
      <c r="Q211" s="71" t="s">
        <v>221</v>
      </c>
      <c r="R211" s="72" t="s">
        <v>229</v>
      </c>
      <c r="S211" s="73" t="s">
        <v>59</v>
      </c>
      <c r="T211" s="74"/>
      <c r="U211" s="74"/>
      <c r="V211" s="74">
        <v>346.1</v>
      </c>
      <c r="W211" s="74"/>
      <c r="X211" s="74"/>
      <c r="Y211" s="74"/>
      <c r="Z211" s="75">
        <f t="shared" si="39"/>
        <v>346.1</v>
      </c>
      <c r="AA211" s="73">
        <v>2017</v>
      </c>
      <c r="AB211" s="48"/>
      <c r="AC211" s="42"/>
      <c r="AD211" s="42"/>
      <c r="AE211" s="43"/>
      <c r="AF211" s="43"/>
    </row>
    <row r="212" spans="1:32" s="65" customFormat="1" ht="60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17" t="s">
        <v>222</v>
      </c>
      <c r="S212" s="15" t="s">
        <v>60</v>
      </c>
      <c r="T212" s="8"/>
      <c r="U212" s="8"/>
      <c r="V212" s="8">
        <v>0.54</v>
      </c>
      <c r="W212" s="8"/>
      <c r="X212" s="8"/>
      <c r="Y212" s="8"/>
      <c r="Z212" s="5">
        <f t="shared" si="39"/>
        <v>0.54</v>
      </c>
      <c r="AA212" s="15">
        <v>2017</v>
      </c>
      <c r="AB212" s="48"/>
      <c r="AC212" s="42"/>
      <c r="AD212" s="42"/>
      <c r="AE212" s="43"/>
      <c r="AF212" s="43"/>
    </row>
    <row r="213" spans="1:32" s="65" customFormat="1" ht="43.9" customHeight="1" x14ac:dyDescent="0.25">
      <c r="A213" s="71" t="s">
        <v>23</v>
      </c>
      <c r="B213" s="71" t="s">
        <v>23</v>
      </c>
      <c r="C213" s="71" t="s">
        <v>30</v>
      </c>
      <c r="D213" s="72">
        <v>0</v>
      </c>
      <c r="E213" s="72">
        <v>4</v>
      </c>
      <c r="F213" s="72">
        <v>0</v>
      </c>
      <c r="G213" s="72">
        <v>9</v>
      </c>
      <c r="H213" s="71" t="s">
        <v>23</v>
      </c>
      <c r="I213" s="71" t="s">
        <v>31</v>
      </c>
      <c r="J213" s="71" t="s">
        <v>24</v>
      </c>
      <c r="K213" s="71" t="s">
        <v>23</v>
      </c>
      <c r="L213" s="71" t="s">
        <v>23</v>
      </c>
      <c r="M213" s="71" t="s">
        <v>23</v>
      </c>
      <c r="N213" s="71" t="s">
        <v>23</v>
      </c>
      <c r="O213" s="71" t="s">
        <v>23</v>
      </c>
      <c r="P213" s="71" t="s">
        <v>23</v>
      </c>
      <c r="Q213" s="71" t="s">
        <v>23</v>
      </c>
      <c r="R213" s="72" t="s">
        <v>230</v>
      </c>
      <c r="S213" s="73" t="s">
        <v>59</v>
      </c>
      <c r="T213" s="74"/>
      <c r="U213" s="74"/>
      <c r="V213" s="75">
        <f>V214+V215+V216+V217</f>
        <v>991.8</v>
      </c>
      <c r="W213" s="74"/>
      <c r="X213" s="74"/>
      <c r="Y213" s="74"/>
      <c r="Z213" s="75">
        <f>V213</f>
        <v>991.8</v>
      </c>
      <c r="AA213" s="73">
        <v>2017</v>
      </c>
      <c r="AB213" s="48"/>
      <c r="AC213" s="42"/>
      <c r="AD213" s="42"/>
      <c r="AE213" s="43"/>
      <c r="AF213" s="43"/>
    </row>
    <row r="214" spans="1:32" s="65" customFormat="1" ht="45" x14ac:dyDescent="0.25">
      <c r="A214" s="71" t="s">
        <v>23</v>
      </c>
      <c r="B214" s="71" t="s">
        <v>23</v>
      </c>
      <c r="C214" s="71" t="s">
        <v>30</v>
      </c>
      <c r="D214" s="72">
        <v>0</v>
      </c>
      <c r="E214" s="72">
        <v>4</v>
      </c>
      <c r="F214" s="72">
        <v>0</v>
      </c>
      <c r="G214" s="72">
        <v>9</v>
      </c>
      <c r="H214" s="71" t="s">
        <v>23</v>
      </c>
      <c r="I214" s="71" t="s">
        <v>31</v>
      </c>
      <c r="J214" s="71" t="s">
        <v>24</v>
      </c>
      <c r="K214" s="71" t="s">
        <v>23</v>
      </c>
      <c r="L214" s="71" t="s">
        <v>33</v>
      </c>
      <c r="M214" s="71" t="s">
        <v>180</v>
      </c>
      <c r="N214" s="71" t="s">
        <v>23</v>
      </c>
      <c r="O214" s="71" t="s">
        <v>33</v>
      </c>
      <c r="P214" s="71" t="s">
        <v>34</v>
      </c>
      <c r="Q214" s="71" t="s">
        <v>210</v>
      </c>
      <c r="R214" s="72" t="s">
        <v>230</v>
      </c>
      <c r="S214" s="73" t="s">
        <v>59</v>
      </c>
      <c r="T214" s="74"/>
      <c r="U214" s="74"/>
      <c r="V214" s="74">
        <v>247.6</v>
      </c>
      <c r="W214" s="74"/>
      <c r="X214" s="74"/>
      <c r="Y214" s="74"/>
      <c r="Z214" s="75">
        <f t="shared" ref="Z214:Z218" si="40">V214</f>
        <v>247.6</v>
      </c>
      <c r="AA214" s="73">
        <v>2017</v>
      </c>
      <c r="AB214" s="48"/>
      <c r="AC214" s="42"/>
      <c r="AD214" s="42"/>
      <c r="AE214" s="43"/>
      <c r="AF214" s="43"/>
    </row>
    <row r="215" spans="1:32" s="65" customFormat="1" ht="45" x14ac:dyDescent="0.25">
      <c r="A215" s="71" t="s">
        <v>23</v>
      </c>
      <c r="B215" s="71" t="s">
        <v>23</v>
      </c>
      <c r="C215" s="71" t="s">
        <v>30</v>
      </c>
      <c r="D215" s="72">
        <v>0</v>
      </c>
      <c r="E215" s="72">
        <v>4</v>
      </c>
      <c r="F215" s="72">
        <v>0</v>
      </c>
      <c r="G215" s="72">
        <v>9</v>
      </c>
      <c r="H215" s="71" t="s">
        <v>23</v>
      </c>
      <c r="I215" s="71" t="s">
        <v>31</v>
      </c>
      <c r="J215" s="71" t="s">
        <v>24</v>
      </c>
      <c r="K215" s="71" t="s">
        <v>23</v>
      </c>
      <c r="L215" s="71" t="s">
        <v>33</v>
      </c>
      <c r="M215" s="71" t="s">
        <v>180</v>
      </c>
      <c r="N215" s="71" t="s">
        <v>23</v>
      </c>
      <c r="O215" s="71" t="s">
        <v>33</v>
      </c>
      <c r="P215" s="71" t="s">
        <v>34</v>
      </c>
      <c r="Q215" s="71" t="s">
        <v>220</v>
      </c>
      <c r="R215" s="72" t="s">
        <v>230</v>
      </c>
      <c r="S215" s="73" t="s">
        <v>59</v>
      </c>
      <c r="T215" s="74"/>
      <c r="U215" s="74"/>
      <c r="V215" s="74">
        <v>307.5</v>
      </c>
      <c r="W215" s="74"/>
      <c r="X215" s="74"/>
      <c r="Y215" s="74"/>
      <c r="Z215" s="75">
        <f t="shared" si="40"/>
        <v>307.5</v>
      </c>
      <c r="AA215" s="73">
        <v>2017</v>
      </c>
      <c r="AB215" s="48"/>
      <c r="AC215" s="42"/>
      <c r="AD215" s="42"/>
      <c r="AE215" s="43"/>
      <c r="AF215" s="43"/>
    </row>
    <row r="216" spans="1:32" s="65" customFormat="1" ht="45" x14ac:dyDescent="0.25">
      <c r="A216" s="71" t="s">
        <v>23</v>
      </c>
      <c r="B216" s="71" t="s">
        <v>23</v>
      </c>
      <c r="C216" s="71" t="s">
        <v>30</v>
      </c>
      <c r="D216" s="72">
        <v>0</v>
      </c>
      <c r="E216" s="72">
        <v>4</v>
      </c>
      <c r="F216" s="72">
        <v>0</v>
      </c>
      <c r="G216" s="72">
        <v>9</v>
      </c>
      <c r="H216" s="71" t="s">
        <v>23</v>
      </c>
      <c r="I216" s="71" t="s">
        <v>31</v>
      </c>
      <c r="J216" s="71" t="s">
        <v>24</v>
      </c>
      <c r="K216" s="71" t="s">
        <v>23</v>
      </c>
      <c r="L216" s="71" t="s">
        <v>33</v>
      </c>
      <c r="M216" s="71" t="s">
        <v>24</v>
      </c>
      <c r="N216" s="71" t="s">
        <v>23</v>
      </c>
      <c r="O216" s="71" t="s">
        <v>32</v>
      </c>
      <c r="P216" s="71" t="s">
        <v>34</v>
      </c>
      <c r="Q216" s="71" t="s">
        <v>181</v>
      </c>
      <c r="R216" s="72" t="s">
        <v>230</v>
      </c>
      <c r="S216" s="73" t="s">
        <v>59</v>
      </c>
      <c r="T216" s="74"/>
      <c r="U216" s="74"/>
      <c r="V216" s="74">
        <v>40</v>
      </c>
      <c r="W216" s="74"/>
      <c r="X216" s="74"/>
      <c r="Y216" s="74"/>
      <c r="Z216" s="75">
        <f t="shared" si="40"/>
        <v>40</v>
      </c>
      <c r="AA216" s="73">
        <v>2017</v>
      </c>
      <c r="AB216" s="48"/>
      <c r="AC216" s="42"/>
      <c r="AD216" s="42"/>
      <c r="AE216" s="43"/>
      <c r="AF216" s="43"/>
    </row>
    <row r="217" spans="1:32" s="65" customFormat="1" ht="45" x14ac:dyDescent="0.25">
      <c r="A217" s="71" t="s">
        <v>23</v>
      </c>
      <c r="B217" s="71" t="s">
        <v>23</v>
      </c>
      <c r="C217" s="71" t="s">
        <v>30</v>
      </c>
      <c r="D217" s="72">
        <v>0</v>
      </c>
      <c r="E217" s="72">
        <v>4</v>
      </c>
      <c r="F217" s="72">
        <v>0</v>
      </c>
      <c r="G217" s="72">
        <v>9</v>
      </c>
      <c r="H217" s="71" t="s">
        <v>23</v>
      </c>
      <c r="I217" s="71" t="s">
        <v>31</v>
      </c>
      <c r="J217" s="71" t="s">
        <v>24</v>
      </c>
      <c r="K217" s="71" t="s">
        <v>23</v>
      </c>
      <c r="L217" s="71" t="s">
        <v>33</v>
      </c>
      <c r="M217" s="71" t="s">
        <v>180</v>
      </c>
      <c r="N217" s="71" t="s">
        <v>23</v>
      </c>
      <c r="O217" s="71" t="s">
        <v>33</v>
      </c>
      <c r="P217" s="71" t="s">
        <v>34</v>
      </c>
      <c r="Q217" s="71" t="s">
        <v>221</v>
      </c>
      <c r="R217" s="72" t="s">
        <v>230</v>
      </c>
      <c r="S217" s="73" t="s">
        <v>59</v>
      </c>
      <c r="T217" s="74"/>
      <c r="U217" s="74"/>
      <c r="V217" s="74">
        <v>396.7</v>
      </c>
      <c r="W217" s="74"/>
      <c r="X217" s="74"/>
      <c r="Y217" s="74"/>
      <c r="Z217" s="75">
        <f t="shared" si="40"/>
        <v>396.7</v>
      </c>
      <c r="AA217" s="73">
        <v>2017</v>
      </c>
      <c r="AB217" s="48"/>
      <c r="AC217" s="42"/>
      <c r="AD217" s="42"/>
      <c r="AE217" s="43"/>
      <c r="AF217" s="43"/>
    </row>
    <row r="218" spans="1:32" s="65" customFormat="1" ht="60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17" t="s">
        <v>222</v>
      </c>
      <c r="S218" s="15" t="s">
        <v>60</v>
      </c>
      <c r="T218" s="8"/>
      <c r="U218" s="8"/>
      <c r="V218" s="8">
        <v>0.6</v>
      </c>
      <c r="W218" s="8"/>
      <c r="X218" s="8"/>
      <c r="Y218" s="8"/>
      <c r="Z218" s="5">
        <f t="shared" si="40"/>
        <v>0.6</v>
      </c>
      <c r="AA218" s="15">
        <v>2017</v>
      </c>
      <c r="AB218" s="48"/>
      <c r="AC218" s="42"/>
      <c r="AD218" s="42"/>
      <c r="AE218" s="43"/>
      <c r="AF218" s="43"/>
    </row>
    <row r="219" spans="1:32" s="65" customFormat="1" ht="45" x14ac:dyDescent="0.25">
      <c r="A219" s="71" t="s">
        <v>23</v>
      </c>
      <c r="B219" s="71" t="s">
        <v>23</v>
      </c>
      <c r="C219" s="71" t="s">
        <v>30</v>
      </c>
      <c r="D219" s="72">
        <v>0</v>
      </c>
      <c r="E219" s="72">
        <v>4</v>
      </c>
      <c r="F219" s="72">
        <v>0</v>
      </c>
      <c r="G219" s="72">
        <v>9</v>
      </c>
      <c r="H219" s="71" t="s">
        <v>23</v>
      </c>
      <c r="I219" s="71" t="s">
        <v>31</v>
      </c>
      <c r="J219" s="71" t="s">
        <v>24</v>
      </c>
      <c r="K219" s="71" t="s">
        <v>23</v>
      </c>
      <c r="L219" s="71" t="s">
        <v>23</v>
      </c>
      <c r="M219" s="71" t="s">
        <v>23</v>
      </c>
      <c r="N219" s="71" t="s">
        <v>23</v>
      </c>
      <c r="O219" s="71" t="s">
        <v>23</v>
      </c>
      <c r="P219" s="71" t="s">
        <v>23</v>
      </c>
      <c r="Q219" s="71" t="s">
        <v>23</v>
      </c>
      <c r="R219" s="72" t="s">
        <v>231</v>
      </c>
      <c r="S219" s="73" t="s">
        <v>59</v>
      </c>
      <c r="T219" s="74"/>
      <c r="U219" s="74"/>
      <c r="V219" s="75">
        <f>V220+V221+V222+V223</f>
        <v>750.59999999999991</v>
      </c>
      <c r="W219" s="74"/>
      <c r="X219" s="74"/>
      <c r="Y219" s="74"/>
      <c r="Z219" s="75">
        <f>V219</f>
        <v>750.59999999999991</v>
      </c>
      <c r="AA219" s="73">
        <v>2017</v>
      </c>
      <c r="AB219" s="48"/>
      <c r="AC219" s="42"/>
      <c r="AD219" s="42"/>
      <c r="AE219" s="43"/>
      <c r="AF219" s="43"/>
    </row>
    <row r="220" spans="1:32" s="65" customFormat="1" ht="45" x14ac:dyDescent="0.25">
      <c r="A220" s="71" t="s">
        <v>23</v>
      </c>
      <c r="B220" s="71" t="s">
        <v>23</v>
      </c>
      <c r="C220" s="71" t="s">
        <v>30</v>
      </c>
      <c r="D220" s="72">
        <v>0</v>
      </c>
      <c r="E220" s="72">
        <v>4</v>
      </c>
      <c r="F220" s="72">
        <v>0</v>
      </c>
      <c r="G220" s="72">
        <v>9</v>
      </c>
      <c r="H220" s="71" t="s">
        <v>23</v>
      </c>
      <c r="I220" s="71" t="s">
        <v>31</v>
      </c>
      <c r="J220" s="71" t="s">
        <v>24</v>
      </c>
      <c r="K220" s="71" t="s">
        <v>23</v>
      </c>
      <c r="L220" s="71" t="s">
        <v>33</v>
      </c>
      <c r="M220" s="71" t="s">
        <v>180</v>
      </c>
      <c r="N220" s="71" t="s">
        <v>23</v>
      </c>
      <c r="O220" s="71" t="s">
        <v>33</v>
      </c>
      <c r="P220" s="71" t="s">
        <v>34</v>
      </c>
      <c r="Q220" s="71" t="s">
        <v>210</v>
      </c>
      <c r="R220" s="72" t="s">
        <v>231</v>
      </c>
      <c r="S220" s="73" t="s">
        <v>59</v>
      </c>
      <c r="T220" s="74"/>
      <c r="U220" s="74"/>
      <c r="V220" s="74">
        <v>177.7</v>
      </c>
      <c r="W220" s="74"/>
      <c r="X220" s="74"/>
      <c r="Y220" s="74"/>
      <c r="Z220" s="75">
        <f t="shared" ref="Z220:Z224" si="41">V220</f>
        <v>177.7</v>
      </c>
      <c r="AA220" s="73">
        <v>2017</v>
      </c>
      <c r="AB220" s="48"/>
      <c r="AC220" s="42"/>
      <c r="AD220" s="42"/>
      <c r="AE220" s="43"/>
      <c r="AF220" s="43"/>
    </row>
    <row r="221" spans="1:32" s="65" customFormat="1" ht="45" x14ac:dyDescent="0.25">
      <c r="A221" s="71" t="s">
        <v>23</v>
      </c>
      <c r="B221" s="71" t="s">
        <v>23</v>
      </c>
      <c r="C221" s="71" t="s">
        <v>30</v>
      </c>
      <c r="D221" s="72">
        <v>0</v>
      </c>
      <c r="E221" s="72">
        <v>4</v>
      </c>
      <c r="F221" s="72">
        <v>0</v>
      </c>
      <c r="G221" s="72">
        <v>9</v>
      </c>
      <c r="H221" s="71" t="s">
        <v>23</v>
      </c>
      <c r="I221" s="71" t="s">
        <v>31</v>
      </c>
      <c r="J221" s="71" t="s">
        <v>24</v>
      </c>
      <c r="K221" s="71" t="s">
        <v>23</v>
      </c>
      <c r="L221" s="71" t="s">
        <v>33</v>
      </c>
      <c r="M221" s="71" t="s">
        <v>180</v>
      </c>
      <c r="N221" s="71" t="s">
        <v>23</v>
      </c>
      <c r="O221" s="71" t="s">
        <v>33</v>
      </c>
      <c r="P221" s="71" t="s">
        <v>34</v>
      </c>
      <c r="Q221" s="71" t="s">
        <v>220</v>
      </c>
      <c r="R221" s="72" t="s">
        <v>231</v>
      </c>
      <c r="S221" s="73" t="s">
        <v>59</v>
      </c>
      <c r="T221" s="74"/>
      <c r="U221" s="74"/>
      <c r="V221" s="74">
        <v>232.7</v>
      </c>
      <c r="W221" s="74"/>
      <c r="X221" s="74"/>
      <c r="Y221" s="74"/>
      <c r="Z221" s="75">
        <f t="shared" si="41"/>
        <v>232.7</v>
      </c>
      <c r="AA221" s="73">
        <v>2017</v>
      </c>
      <c r="AB221" s="48"/>
      <c r="AC221" s="42"/>
      <c r="AD221" s="42"/>
      <c r="AE221" s="43"/>
      <c r="AF221" s="43"/>
    </row>
    <row r="222" spans="1:32" s="65" customFormat="1" ht="45" x14ac:dyDescent="0.25">
      <c r="A222" s="71" t="s">
        <v>23</v>
      </c>
      <c r="B222" s="71" t="s">
        <v>23</v>
      </c>
      <c r="C222" s="71" t="s">
        <v>30</v>
      </c>
      <c r="D222" s="72">
        <v>0</v>
      </c>
      <c r="E222" s="72">
        <v>4</v>
      </c>
      <c r="F222" s="72">
        <v>0</v>
      </c>
      <c r="G222" s="72">
        <v>9</v>
      </c>
      <c r="H222" s="71" t="s">
        <v>23</v>
      </c>
      <c r="I222" s="71" t="s">
        <v>31</v>
      </c>
      <c r="J222" s="71" t="s">
        <v>24</v>
      </c>
      <c r="K222" s="71" t="s">
        <v>23</v>
      </c>
      <c r="L222" s="71" t="s">
        <v>33</v>
      </c>
      <c r="M222" s="71" t="s">
        <v>24</v>
      </c>
      <c r="N222" s="71" t="s">
        <v>23</v>
      </c>
      <c r="O222" s="71" t="s">
        <v>32</v>
      </c>
      <c r="P222" s="71" t="s">
        <v>34</v>
      </c>
      <c r="Q222" s="71" t="s">
        <v>181</v>
      </c>
      <c r="R222" s="72" t="s">
        <v>231</v>
      </c>
      <c r="S222" s="73" t="s">
        <v>59</v>
      </c>
      <c r="T222" s="74"/>
      <c r="U222" s="74"/>
      <c r="V222" s="74">
        <v>40</v>
      </c>
      <c r="W222" s="74"/>
      <c r="X222" s="74"/>
      <c r="Y222" s="74"/>
      <c r="Z222" s="75">
        <f t="shared" si="41"/>
        <v>40</v>
      </c>
      <c r="AA222" s="73">
        <v>2017</v>
      </c>
      <c r="AB222" s="48"/>
      <c r="AC222" s="42"/>
      <c r="AD222" s="42"/>
      <c r="AE222" s="43"/>
      <c r="AF222" s="43"/>
    </row>
    <row r="223" spans="1:32" s="65" customFormat="1" ht="45" x14ac:dyDescent="0.25">
      <c r="A223" s="71" t="s">
        <v>23</v>
      </c>
      <c r="B223" s="71" t="s">
        <v>23</v>
      </c>
      <c r="C223" s="71" t="s">
        <v>30</v>
      </c>
      <c r="D223" s="72">
        <v>0</v>
      </c>
      <c r="E223" s="72">
        <v>4</v>
      </c>
      <c r="F223" s="72">
        <v>0</v>
      </c>
      <c r="G223" s="72">
        <v>9</v>
      </c>
      <c r="H223" s="71" t="s">
        <v>23</v>
      </c>
      <c r="I223" s="71" t="s">
        <v>31</v>
      </c>
      <c r="J223" s="71" t="s">
        <v>24</v>
      </c>
      <c r="K223" s="71" t="s">
        <v>23</v>
      </c>
      <c r="L223" s="71" t="s">
        <v>33</v>
      </c>
      <c r="M223" s="71" t="s">
        <v>180</v>
      </c>
      <c r="N223" s="71" t="s">
        <v>23</v>
      </c>
      <c r="O223" s="71" t="s">
        <v>33</v>
      </c>
      <c r="P223" s="71" t="s">
        <v>34</v>
      </c>
      <c r="Q223" s="71" t="s">
        <v>221</v>
      </c>
      <c r="R223" s="72" t="s">
        <v>231</v>
      </c>
      <c r="S223" s="73" t="s">
        <v>59</v>
      </c>
      <c r="T223" s="74"/>
      <c r="U223" s="74"/>
      <c r="V223" s="74">
        <v>300.2</v>
      </c>
      <c r="W223" s="74"/>
      <c r="X223" s="74"/>
      <c r="Y223" s="74"/>
      <c r="Z223" s="75">
        <f t="shared" si="41"/>
        <v>300.2</v>
      </c>
      <c r="AA223" s="73">
        <v>2017</v>
      </c>
      <c r="AB223" s="48"/>
      <c r="AC223" s="42"/>
      <c r="AD223" s="42"/>
      <c r="AE223" s="43"/>
      <c r="AF223" s="43"/>
    </row>
    <row r="224" spans="1:32" s="65" customFormat="1" ht="60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17" t="s">
        <v>222</v>
      </c>
      <c r="S224" s="15" t="s">
        <v>60</v>
      </c>
      <c r="T224" s="8"/>
      <c r="U224" s="8"/>
      <c r="V224" s="8">
        <v>0.5</v>
      </c>
      <c r="W224" s="8"/>
      <c r="X224" s="8"/>
      <c r="Y224" s="8"/>
      <c r="Z224" s="5">
        <f t="shared" si="41"/>
        <v>0.5</v>
      </c>
      <c r="AA224" s="15">
        <v>2017</v>
      </c>
      <c r="AB224" s="48"/>
      <c r="AC224" s="42"/>
      <c r="AD224" s="42"/>
      <c r="AE224" s="43"/>
      <c r="AF224" s="43"/>
    </row>
    <row r="225" spans="1:32" s="65" customFormat="1" ht="45" x14ac:dyDescent="0.25">
      <c r="A225" s="71" t="s">
        <v>23</v>
      </c>
      <c r="B225" s="71" t="s">
        <v>23</v>
      </c>
      <c r="C225" s="71" t="s">
        <v>30</v>
      </c>
      <c r="D225" s="72">
        <v>0</v>
      </c>
      <c r="E225" s="72">
        <v>4</v>
      </c>
      <c r="F225" s="72">
        <v>0</v>
      </c>
      <c r="G225" s="72">
        <v>9</v>
      </c>
      <c r="H225" s="71" t="s">
        <v>23</v>
      </c>
      <c r="I225" s="71" t="s">
        <v>31</v>
      </c>
      <c r="J225" s="71" t="s">
        <v>24</v>
      </c>
      <c r="K225" s="71" t="s">
        <v>23</v>
      </c>
      <c r="L225" s="71" t="s">
        <v>23</v>
      </c>
      <c r="M225" s="71" t="s">
        <v>23</v>
      </c>
      <c r="N225" s="71" t="s">
        <v>23</v>
      </c>
      <c r="O225" s="71" t="s">
        <v>23</v>
      </c>
      <c r="P225" s="71" t="s">
        <v>23</v>
      </c>
      <c r="Q225" s="71" t="s">
        <v>23</v>
      </c>
      <c r="R225" s="72" t="s">
        <v>232</v>
      </c>
      <c r="S225" s="73" t="s">
        <v>59</v>
      </c>
      <c r="T225" s="74"/>
      <c r="U225" s="74"/>
      <c r="V225" s="75">
        <f>V226+V227+V228</f>
        <v>473.2</v>
      </c>
      <c r="W225" s="74"/>
      <c r="X225" s="74"/>
      <c r="Y225" s="74"/>
      <c r="Z225" s="75">
        <f>V225</f>
        <v>473.2</v>
      </c>
      <c r="AA225" s="73">
        <v>2017</v>
      </c>
      <c r="AB225" s="48"/>
      <c r="AC225" s="42"/>
      <c r="AD225" s="42"/>
      <c r="AE225" s="43"/>
      <c r="AF225" s="43"/>
    </row>
    <row r="226" spans="1:32" s="65" customFormat="1" ht="45" x14ac:dyDescent="0.25">
      <c r="A226" s="71" t="s">
        <v>23</v>
      </c>
      <c r="B226" s="71" t="s">
        <v>23</v>
      </c>
      <c r="C226" s="71" t="s">
        <v>30</v>
      </c>
      <c r="D226" s="72">
        <v>0</v>
      </c>
      <c r="E226" s="72">
        <v>4</v>
      </c>
      <c r="F226" s="72">
        <v>0</v>
      </c>
      <c r="G226" s="72">
        <v>9</v>
      </c>
      <c r="H226" s="71" t="s">
        <v>23</v>
      </c>
      <c r="I226" s="71" t="s">
        <v>31</v>
      </c>
      <c r="J226" s="71" t="s">
        <v>24</v>
      </c>
      <c r="K226" s="71" t="s">
        <v>23</v>
      </c>
      <c r="L226" s="71" t="s">
        <v>33</v>
      </c>
      <c r="M226" s="71" t="s">
        <v>180</v>
      </c>
      <c r="N226" s="71" t="s">
        <v>23</v>
      </c>
      <c r="O226" s="71" t="s">
        <v>33</v>
      </c>
      <c r="P226" s="71" t="s">
        <v>34</v>
      </c>
      <c r="Q226" s="71" t="s">
        <v>210</v>
      </c>
      <c r="R226" s="72" t="s">
        <v>232</v>
      </c>
      <c r="S226" s="73" t="s">
        <v>59</v>
      </c>
      <c r="T226" s="74"/>
      <c r="U226" s="74"/>
      <c r="V226" s="74">
        <v>178.9</v>
      </c>
      <c r="W226" s="74"/>
      <c r="X226" s="74"/>
      <c r="Y226" s="74"/>
      <c r="Z226" s="75">
        <f t="shared" ref="Z226:Z228" si="42">V226</f>
        <v>178.9</v>
      </c>
      <c r="AA226" s="73">
        <v>2017</v>
      </c>
      <c r="AB226" s="48"/>
      <c r="AC226" s="42"/>
      <c r="AD226" s="42"/>
      <c r="AE226" s="43"/>
      <c r="AF226" s="43"/>
    </row>
    <row r="227" spans="1:32" s="65" customFormat="1" ht="45" x14ac:dyDescent="0.25">
      <c r="A227" s="71" t="s">
        <v>23</v>
      </c>
      <c r="B227" s="71" t="s">
        <v>23</v>
      </c>
      <c r="C227" s="71" t="s">
        <v>30</v>
      </c>
      <c r="D227" s="72">
        <v>0</v>
      </c>
      <c r="E227" s="72">
        <v>4</v>
      </c>
      <c r="F227" s="72">
        <v>0</v>
      </c>
      <c r="G227" s="72">
        <v>9</v>
      </c>
      <c r="H227" s="71" t="s">
        <v>23</v>
      </c>
      <c r="I227" s="71" t="s">
        <v>31</v>
      </c>
      <c r="J227" s="71" t="s">
        <v>24</v>
      </c>
      <c r="K227" s="71" t="s">
        <v>23</v>
      </c>
      <c r="L227" s="71" t="s">
        <v>33</v>
      </c>
      <c r="M227" s="71" t="s">
        <v>180</v>
      </c>
      <c r="N227" s="71" t="s">
        <v>23</v>
      </c>
      <c r="O227" s="71" t="s">
        <v>33</v>
      </c>
      <c r="P227" s="71" t="s">
        <v>34</v>
      </c>
      <c r="Q227" s="71" t="s">
        <v>220</v>
      </c>
      <c r="R227" s="72" t="s">
        <v>232</v>
      </c>
      <c r="S227" s="73" t="s">
        <v>59</v>
      </c>
      <c r="T227" s="74"/>
      <c r="U227" s="74"/>
      <c r="V227" s="74">
        <v>105</v>
      </c>
      <c r="W227" s="74"/>
      <c r="X227" s="74"/>
      <c r="Y227" s="74"/>
      <c r="Z227" s="75">
        <f t="shared" si="42"/>
        <v>105</v>
      </c>
      <c r="AA227" s="73">
        <v>2017</v>
      </c>
      <c r="AB227" s="48"/>
      <c r="AC227" s="42"/>
      <c r="AD227" s="42"/>
      <c r="AE227" s="43"/>
      <c r="AF227" s="43"/>
    </row>
    <row r="228" spans="1:32" s="65" customFormat="1" ht="45" x14ac:dyDescent="0.25">
      <c r="A228" s="71" t="s">
        <v>23</v>
      </c>
      <c r="B228" s="71" t="s">
        <v>23</v>
      </c>
      <c r="C228" s="71" t="s">
        <v>30</v>
      </c>
      <c r="D228" s="72">
        <v>0</v>
      </c>
      <c r="E228" s="72">
        <v>4</v>
      </c>
      <c r="F228" s="72">
        <v>0</v>
      </c>
      <c r="G228" s="72">
        <v>9</v>
      </c>
      <c r="H228" s="71" t="s">
        <v>23</v>
      </c>
      <c r="I228" s="71" t="s">
        <v>31</v>
      </c>
      <c r="J228" s="71" t="s">
        <v>24</v>
      </c>
      <c r="K228" s="71" t="s">
        <v>23</v>
      </c>
      <c r="L228" s="71" t="s">
        <v>33</v>
      </c>
      <c r="M228" s="71" t="s">
        <v>180</v>
      </c>
      <c r="N228" s="71" t="s">
        <v>23</v>
      </c>
      <c r="O228" s="71" t="s">
        <v>33</v>
      </c>
      <c r="P228" s="71" t="s">
        <v>34</v>
      </c>
      <c r="Q228" s="71" t="s">
        <v>221</v>
      </c>
      <c r="R228" s="72" t="s">
        <v>232</v>
      </c>
      <c r="S228" s="73" t="s">
        <v>59</v>
      </c>
      <c r="T228" s="74"/>
      <c r="U228" s="74"/>
      <c r="V228" s="74">
        <v>189.3</v>
      </c>
      <c r="W228" s="74"/>
      <c r="X228" s="74"/>
      <c r="Y228" s="74"/>
      <c r="Z228" s="75">
        <f t="shared" si="42"/>
        <v>189.3</v>
      </c>
      <c r="AA228" s="73">
        <v>2017</v>
      </c>
      <c r="AB228" s="48"/>
      <c r="AC228" s="42"/>
      <c r="AD228" s="42"/>
      <c r="AE228" s="43"/>
      <c r="AF228" s="43"/>
    </row>
    <row r="229" spans="1:32" s="65" customFormat="1" ht="30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17" t="s">
        <v>234</v>
      </c>
      <c r="S229" s="15" t="s">
        <v>12</v>
      </c>
      <c r="T229" s="8"/>
      <c r="U229" s="8"/>
      <c r="V229" s="8">
        <v>176</v>
      </c>
      <c r="W229" s="8"/>
      <c r="X229" s="8"/>
      <c r="Y229" s="8"/>
      <c r="Z229" s="5">
        <f>V229</f>
        <v>176</v>
      </c>
      <c r="AA229" s="15">
        <v>2017</v>
      </c>
      <c r="AB229" s="48"/>
      <c r="AC229" s="42"/>
      <c r="AD229" s="42"/>
      <c r="AE229" s="43"/>
      <c r="AF229" s="43"/>
    </row>
    <row r="230" spans="1:32" s="65" customFormat="1" ht="45" x14ac:dyDescent="0.25">
      <c r="A230" s="71" t="s">
        <v>23</v>
      </c>
      <c r="B230" s="71" t="s">
        <v>23</v>
      </c>
      <c r="C230" s="71" t="s">
        <v>30</v>
      </c>
      <c r="D230" s="72">
        <v>0</v>
      </c>
      <c r="E230" s="72">
        <v>4</v>
      </c>
      <c r="F230" s="72">
        <v>0</v>
      </c>
      <c r="G230" s="72">
        <v>9</v>
      </c>
      <c r="H230" s="71" t="s">
        <v>23</v>
      </c>
      <c r="I230" s="71" t="s">
        <v>31</v>
      </c>
      <c r="J230" s="71" t="s">
        <v>24</v>
      </c>
      <c r="K230" s="71" t="s">
        <v>23</v>
      </c>
      <c r="L230" s="71" t="s">
        <v>23</v>
      </c>
      <c r="M230" s="71" t="s">
        <v>23</v>
      </c>
      <c r="N230" s="71" t="s">
        <v>23</v>
      </c>
      <c r="O230" s="71" t="s">
        <v>23</v>
      </c>
      <c r="P230" s="71" t="s">
        <v>23</v>
      </c>
      <c r="Q230" s="71" t="s">
        <v>23</v>
      </c>
      <c r="R230" s="72" t="s">
        <v>233</v>
      </c>
      <c r="S230" s="73" t="s">
        <v>59</v>
      </c>
      <c r="T230" s="74"/>
      <c r="U230" s="74"/>
      <c r="V230" s="75">
        <f>V231+V232+V233</f>
        <v>994.9</v>
      </c>
      <c r="W230" s="74"/>
      <c r="X230" s="74"/>
      <c r="Y230" s="74"/>
      <c r="Z230" s="75">
        <f>V230</f>
        <v>994.9</v>
      </c>
      <c r="AA230" s="73">
        <v>2017</v>
      </c>
      <c r="AB230" s="48"/>
      <c r="AC230" s="42"/>
      <c r="AD230" s="42"/>
      <c r="AE230" s="43"/>
      <c r="AF230" s="43"/>
    </row>
    <row r="231" spans="1:32" s="65" customFormat="1" ht="45" x14ac:dyDescent="0.25">
      <c r="A231" s="71" t="s">
        <v>23</v>
      </c>
      <c r="B231" s="71" t="s">
        <v>23</v>
      </c>
      <c r="C231" s="71" t="s">
        <v>30</v>
      </c>
      <c r="D231" s="72">
        <v>0</v>
      </c>
      <c r="E231" s="72">
        <v>4</v>
      </c>
      <c r="F231" s="72">
        <v>0</v>
      </c>
      <c r="G231" s="72">
        <v>9</v>
      </c>
      <c r="H231" s="71" t="s">
        <v>23</v>
      </c>
      <c r="I231" s="71" t="s">
        <v>31</v>
      </c>
      <c r="J231" s="71" t="s">
        <v>24</v>
      </c>
      <c r="K231" s="71" t="s">
        <v>23</v>
      </c>
      <c r="L231" s="71" t="s">
        <v>33</v>
      </c>
      <c r="M231" s="71" t="s">
        <v>180</v>
      </c>
      <c r="N231" s="71" t="s">
        <v>23</v>
      </c>
      <c r="O231" s="71" t="s">
        <v>33</v>
      </c>
      <c r="P231" s="71" t="s">
        <v>34</v>
      </c>
      <c r="Q231" s="71" t="s">
        <v>210</v>
      </c>
      <c r="R231" s="72" t="s">
        <v>233</v>
      </c>
      <c r="S231" s="73" t="s">
        <v>59</v>
      </c>
      <c r="T231" s="74"/>
      <c r="U231" s="74"/>
      <c r="V231" s="74">
        <v>447</v>
      </c>
      <c r="W231" s="74"/>
      <c r="X231" s="74"/>
      <c r="Y231" s="74"/>
      <c r="Z231" s="75">
        <f t="shared" ref="Z231:Z233" si="43">V231</f>
        <v>447</v>
      </c>
      <c r="AA231" s="73">
        <v>2017</v>
      </c>
      <c r="AB231" s="48"/>
      <c r="AC231" s="42"/>
      <c r="AD231" s="42"/>
      <c r="AE231" s="43"/>
      <c r="AF231" s="43"/>
    </row>
    <row r="232" spans="1:32" s="65" customFormat="1" ht="45" x14ac:dyDescent="0.25">
      <c r="A232" s="71" t="s">
        <v>23</v>
      </c>
      <c r="B232" s="71" t="s">
        <v>23</v>
      </c>
      <c r="C232" s="71" t="s">
        <v>30</v>
      </c>
      <c r="D232" s="72">
        <v>0</v>
      </c>
      <c r="E232" s="72">
        <v>4</v>
      </c>
      <c r="F232" s="72">
        <v>0</v>
      </c>
      <c r="G232" s="72">
        <v>9</v>
      </c>
      <c r="H232" s="71" t="s">
        <v>23</v>
      </c>
      <c r="I232" s="71" t="s">
        <v>31</v>
      </c>
      <c r="J232" s="71" t="s">
        <v>24</v>
      </c>
      <c r="K232" s="71" t="s">
        <v>23</v>
      </c>
      <c r="L232" s="71" t="s">
        <v>33</v>
      </c>
      <c r="M232" s="71" t="s">
        <v>180</v>
      </c>
      <c r="N232" s="71" t="s">
        <v>23</v>
      </c>
      <c r="O232" s="71" t="s">
        <v>33</v>
      </c>
      <c r="P232" s="71" t="s">
        <v>34</v>
      </c>
      <c r="Q232" s="71" t="s">
        <v>220</v>
      </c>
      <c r="R232" s="72" t="s">
        <v>233</v>
      </c>
      <c r="S232" s="73" t="s">
        <v>59</v>
      </c>
      <c r="T232" s="74"/>
      <c r="U232" s="74"/>
      <c r="V232" s="74">
        <v>150</v>
      </c>
      <c r="W232" s="74"/>
      <c r="X232" s="74"/>
      <c r="Y232" s="74"/>
      <c r="Z232" s="75">
        <f t="shared" si="43"/>
        <v>150</v>
      </c>
      <c r="AA232" s="73">
        <v>2017</v>
      </c>
      <c r="AB232" s="48"/>
      <c r="AC232" s="42"/>
      <c r="AD232" s="42"/>
      <c r="AE232" s="43"/>
      <c r="AF232" s="43"/>
    </row>
    <row r="233" spans="1:32" s="65" customFormat="1" ht="45" x14ac:dyDescent="0.25">
      <c r="A233" s="71" t="s">
        <v>23</v>
      </c>
      <c r="B233" s="71" t="s">
        <v>23</v>
      </c>
      <c r="C233" s="71" t="s">
        <v>30</v>
      </c>
      <c r="D233" s="72">
        <v>0</v>
      </c>
      <c r="E233" s="72">
        <v>4</v>
      </c>
      <c r="F233" s="72">
        <v>0</v>
      </c>
      <c r="G233" s="72">
        <v>9</v>
      </c>
      <c r="H233" s="71" t="s">
        <v>23</v>
      </c>
      <c r="I233" s="71" t="s">
        <v>31</v>
      </c>
      <c r="J233" s="71" t="s">
        <v>24</v>
      </c>
      <c r="K233" s="71" t="s">
        <v>23</v>
      </c>
      <c r="L233" s="71" t="s">
        <v>33</v>
      </c>
      <c r="M233" s="71" t="s">
        <v>180</v>
      </c>
      <c r="N233" s="71" t="s">
        <v>23</v>
      </c>
      <c r="O233" s="71" t="s">
        <v>33</v>
      </c>
      <c r="P233" s="71" t="s">
        <v>34</v>
      </c>
      <c r="Q233" s="71" t="s">
        <v>221</v>
      </c>
      <c r="R233" s="72" t="s">
        <v>233</v>
      </c>
      <c r="S233" s="73" t="s">
        <v>59</v>
      </c>
      <c r="T233" s="74"/>
      <c r="U233" s="74"/>
      <c r="V233" s="74">
        <v>397.9</v>
      </c>
      <c r="W233" s="74"/>
      <c r="X233" s="74"/>
      <c r="Y233" s="74"/>
      <c r="Z233" s="75">
        <f t="shared" si="43"/>
        <v>397.9</v>
      </c>
      <c r="AA233" s="73">
        <v>2017</v>
      </c>
      <c r="AB233" s="48"/>
      <c r="AC233" s="42"/>
      <c r="AD233" s="42"/>
      <c r="AE233" s="43"/>
      <c r="AF233" s="43"/>
    </row>
    <row r="234" spans="1:32" s="65" customFormat="1" ht="60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17" t="s">
        <v>222</v>
      </c>
      <c r="S234" s="15" t="s">
        <v>60</v>
      </c>
      <c r="T234" s="8"/>
      <c r="U234" s="8"/>
      <c r="V234" s="8">
        <v>0.6</v>
      </c>
      <c r="W234" s="8"/>
      <c r="X234" s="8"/>
      <c r="Y234" s="8"/>
      <c r="Z234" s="5">
        <f>V234</f>
        <v>0.6</v>
      </c>
      <c r="AA234" s="15">
        <v>2017</v>
      </c>
      <c r="AB234" s="48"/>
      <c r="AC234" s="42"/>
      <c r="AD234" s="42"/>
      <c r="AE234" s="43"/>
      <c r="AF234" s="43"/>
    </row>
    <row r="235" spans="1:32" s="65" customFormat="1" ht="60" x14ac:dyDescent="0.25">
      <c r="A235" s="71" t="s">
        <v>23</v>
      </c>
      <c r="B235" s="71" t="s">
        <v>23</v>
      </c>
      <c r="C235" s="71" t="s">
        <v>35</v>
      </c>
      <c r="D235" s="72">
        <v>0</v>
      </c>
      <c r="E235" s="72">
        <v>4</v>
      </c>
      <c r="F235" s="72">
        <v>0</v>
      </c>
      <c r="G235" s="72">
        <v>9</v>
      </c>
      <c r="H235" s="71" t="s">
        <v>23</v>
      </c>
      <c r="I235" s="71" t="s">
        <v>31</v>
      </c>
      <c r="J235" s="71" t="s">
        <v>24</v>
      </c>
      <c r="K235" s="71" t="s">
        <v>23</v>
      </c>
      <c r="L235" s="71" t="s">
        <v>23</v>
      </c>
      <c r="M235" s="71" t="s">
        <v>23</v>
      </c>
      <c r="N235" s="71" t="s">
        <v>23</v>
      </c>
      <c r="O235" s="71" t="s">
        <v>23</v>
      </c>
      <c r="P235" s="71" t="s">
        <v>23</v>
      </c>
      <c r="Q235" s="71" t="s">
        <v>23</v>
      </c>
      <c r="R235" s="72" t="s">
        <v>235</v>
      </c>
      <c r="S235" s="73" t="s">
        <v>59</v>
      </c>
      <c r="T235" s="74"/>
      <c r="U235" s="74"/>
      <c r="V235" s="75">
        <f>V236+V237+V238</f>
        <v>681.8</v>
      </c>
      <c r="W235" s="74"/>
      <c r="X235" s="74"/>
      <c r="Y235" s="74"/>
      <c r="Z235" s="75">
        <f>V235</f>
        <v>681.8</v>
      </c>
      <c r="AA235" s="73">
        <v>2017</v>
      </c>
      <c r="AB235" s="48"/>
      <c r="AC235" s="42"/>
      <c r="AD235" s="42"/>
      <c r="AE235" s="43"/>
      <c r="AF235" s="43"/>
    </row>
    <row r="236" spans="1:32" s="65" customFormat="1" ht="60" x14ac:dyDescent="0.25">
      <c r="A236" s="71" t="s">
        <v>23</v>
      </c>
      <c r="B236" s="71" t="s">
        <v>23</v>
      </c>
      <c r="C236" s="71" t="s">
        <v>35</v>
      </c>
      <c r="D236" s="72">
        <v>0</v>
      </c>
      <c r="E236" s="72">
        <v>4</v>
      </c>
      <c r="F236" s="72">
        <v>0</v>
      </c>
      <c r="G236" s="72">
        <v>9</v>
      </c>
      <c r="H236" s="71" t="s">
        <v>23</v>
      </c>
      <c r="I236" s="71" t="s">
        <v>31</v>
      </c>
      <c r="J236" s="71" t="s">
        <v>24</v>
      </c>
      <c r="K236" s="71" t="s">
        <v>23</v>
      </c>
      <c r="L236" s="71" t="s">
        <v>33</v>
      </c>
      <c r="M236" s="71" t="s">
        <v>180</v>
      </c>
      <c r="N236" s="71" t="s">
        <v>23</v>
      </c>
      <c r="O236" s="71" t="s">
        <v>33</v>
      </c>
      <c r="P236" s="71" t="s">
        <v>34</v>
      </c>
      <c r="Q236" s="71" t="s">
        <v>210</v>
      </c>
      <c r="R236" s="72" t="s">
        <v>235</v>
      </c>
      <c r="S236" s="73" t="s">
        <v>59</v>
      </c>
      <c r="T236" s="74"/>
      <c r="U236" s="74"/>
      <c r="V236" s="74">
        <v>249.1</v>
      </c>
      <c r="W236" s="74"/>
      <c r="X236" s="74"/>
      <c r="Y236" s="74"/>
      <c r="Z236" s="75">
        <f t="shared" ref="Z236:Z238" si="44">V236</f>
        <v>249.1</v>
      </c>
      <c r="AA236" s="73">
        <v>2017</v>
      </c>
      <c r="AB236" s="48"/>
      <c r="AC236" s="42"/>
      <c r="AD236" s="42"/>
      <c r="AE236" s="43"/>
      <c r="AF236" s="43"/>
    </row>
    <row r="237" spans="1:32" s="65" customFormat="1" ht="60" x14ac:dyDescent="0.25">
      <c r="A237" s="71" t="s">
        <v>23</v>
      </c>
      <c r="B237" s="71" t="s">
        <v>23</v>
      </c>
      <c r="C237" s="71" t="s">
        <v>35</v>
      </c>
      <c r="D237" s="72">
        <v>0</v>
      </c>
      <c r="E237" s="72">
        <v>4</v>
      </c>
      <c r="F237" s="72">
        <v>0</v>
      </c>
      <c r="G237" s="72">
        <v>9</v>
      </c>
      <c r="H237" s="71" t="s">
        <v>23</v>
      </c>
      <c r="I237" s="71" t="s">
        <v>31</v>
      </c>
      <c r="J237" s="71" t="s">
        <v>24</v>
      </c>
      <c r="K237" s="71" t="s">
        <v>23</v>
      </c>
      <c r="L237" s="71" t="s">
        <v>33</v>
      </c>
      <c r="M237" s="71" t="s">
        <v>180</v>
      </c>
      <c r="N237" s="71" t="s">
        <v>23</v>
      </c>
      <c r="O237" s="71" t="s">
        <v>33</v>
      </c>
      <c r="P237" s="71" t="s">
        <v>34</v>
      </c>
      <c r="Q237" s="71" t="s">
        <v>220</v>
      </c>
      <c r="R237" s="72" t="s">
        <v>235</v>
      </c>
      <c r="S237" s="73" t="s">
        <v>59</v>
      </c>
      <c r="T237" s="74"/>
      <c r="U237" s="74"/>
      <c r="V237" s="74">
        <v>160</v>
      </c>
      <c r="W237" s="74"/>
      <c r="X237" s="74"/>
      <c r="Y237" s="74"/>
      <c r="Z237" s="75">
        <f t="shared" si="44"/>
        <v>160</v>
      </c>
      <c r="AA237" s="73">
        <v>2017</v>
      </c>
      <c r="AB237" s="48"/>
      <c r="AC237" s="42"/>
      <c r="AD237" s="42"/>
      <c r="AE237" s="43"/>
      <c r="AF237" s="43"/>
    </row>
    <row r="238" spans="1:32" s="65" customFormat="1" ht="60" x14ac:dyDescent="0.25">
      <c r="A238" s="71" t="s">
        <v>23</v>
      </c>
      <c r="B238" s="71" t="s">
        <v>23</v>
      </c>
      <c r="C238" s="71" t="s">
        <v>35</v>
      </c>
      <c r="D238" s="72">
        <v>0</v>
      </c>
      <c r="E238" s="72">
        <v>4</v>
      </c>
      <c r="F238" s="72">
        <v>0</v>
      </c>
      <c r="G238" s="72">
        <v>9</v>
      </c>
      <c r="H238" s="71" t="s">
        <v>23</v>
      </c>
      <c r="I238" s="71" t="s">
        <v>31</v>
      </c>
      <c r="J238" s="71" t="s">
        <v>24</v>
      </c>
      <c r="K238" s="71" t="s">
        <v>23</v>
      </c>
      <c r="L238" s="71" t="s">
        <v>33</v>
      </c>
      <c r="M238" s="71" t="s">
        <v>180</v>
      </c>
      <c r="N238" s="71" t="s">
        <v>23</v>
      </c>
      <c r="O238" s="71" t="s">
        <v>33</v>
      </c>
      <c r="P238" s="71" t="s">
        <v>34</v>
      </c>
      <c r="Q238" s="71" t="s">
        <v>221</v>
      </c>
      <c r="R238" s="72" t="s">
        <v>235</v>
      </c>
      <c r="S238" s="73" t="s">
        <v>59</v>
      </c>
      <c r="T238" s="74"/>
      <c r="U238" s="74"/>
      <c r="V238" s="74">
        <v>272.7</v>
      </c>
      <c r="W238" s="74"/>
      <c r="X238" s="74"/>
      <c r="Y238" s="74"/>
      <c r="Z238" s="75">
        <f t="shared" si="44"/>
        <v>272.7</v>
      </c>
      <c r="AA238" s="73">
        <v>2017</v>
      </c>
      <c r="AB238" s="48"/>
      <c r="AC238" s="42"/>
      <c r="AD238" s="42"/>
      <c r="AE238" s="43"/>
      <c r="AF238" s="43"/>
    </row>
    <row r="239" spans="1:32" s="65" customFormat="1" ht="29.25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17" t="s">
        <v>237</v>
      </c>
      <c r="S239" s="15" t="s">
        <v>60</v>
      </c>
      <c r="T239" s="8"/>
      <c r="U239" s="8"/>
      <c r="V239" s="8">
        <v>1</v>
      </c>
      <c r="W239" s="8"/>
      <c r="X239" s="8"/>
      <c r="Y239" s="8"/>
      <c r="Z239" s="5">
        <f>V239</f>
        <v>1</v>
      </c>
      <c r="AA239" s="15">
        <v>2017</v>
      </c>
      <c r="AB239" s="48"/>
      <c r="AC239" s="42"/>
      <c r="AD239" s="42"/>
      <c r="AE239" s="43"/>
      <c r="AF239" s="43"/>
    </row>
    <row r="240" spans="1:32" s="65" customFormat="1" ht="60" x14ac:dyDescent="0.25">
      <c r="A240" s="71" t="s">
        <v>23</v>
      </c>
      <c r="B240" s="71" t="s">
        <v>23</v>
      </c>
      <c r="C240" s="71" t="s">
        <v>35</v>
      </c>
      <c r="D240" s="72">
        <v>0</v>
      </c>
      <c r="E240" s="72">
        <v>4</v>
      </c>
      <c r="F240" s="72">
        <v>0</v>
      </c>
      <c r="G240" s="72">
        <v>9</v>
      </c>
      <c r="H240" s="71" t="s">
        <v>23</v>
      </c>
      <c r="I240" s="71" t="s">
        <v>31</v>
      </c>
      <c r="J240" s="71" t="s">
        <v>24</v>
      </c>
      <c r="K240" s="71" t="s">
        <v>23</v>
      </c>
      <c r="L240" s="71" t="s">
        <v>23</v>
      </c>
      <c r="M240" s="71" t="s">
        <v>23</v>
      </c>
      <c r="N240" s="71" t="s">
        <v>23</v>
      </c>
      <c r="O240" s="71" t="s">
        <v>23</v>
      </c>
      <c r="P240" s="71" t="s">
        <v>23</v>
      </c>
      <c r="Q240" s="71" t="s">
        <v>23</v>
      </c>
      <c r="R240" s="72" t="s">
        <v>236</v>
      </c>
      <c r="S240" s="73" t="s">
        <v>59</v>
      </c>
      <c r="T240" s="74"/>
      <c r="U240" s="74"/>
      <c r="V240" s="75">
        <f>V241+V242+V243</f>
        <v>1168.2</v>
      </c>
      <c r="W240" s="74"/>
      <c r="X240" s="74"/>
      <c r="Y240" s="74"/>
      <c r="Z240" s="75">
        <f>V240</f>
        <v>1168.2</v>
      </c>
      <c r="AA240" s="73">
        <v>2017</v>
      </c>
      <c r="AB240" s="48"/>
      <c r="AC240" s="42"/>
      <c r="AD240" s="42"/>
      <c r="AE240" s="43"/>
      <c r="AF240" s="43"/>
    </row>
    <row r="241" spans="1:32" s="65" customFormat="1" ht="60" x14ac:dyDescent="0.25">
      <c r="A241" s="71" t="s">
        <v>23</v>
      </c>
      <c r="B241" s="71" t="s">
        <v>23</v>
      </c>
      <c r="C241" s="71" t="s">
        <v>35</v>
      </c>
      <c r="D241" s="72">
        <v>0</v>
      </c>
      <c r="E241" s="72">
        <v>4</v>
      </c>
      <c r="F241" s="72">
        <v>0</v>
      </c>
      <c r="G241" s="72">
        <v>9</v>
      </c>
      <c r="H241" s="71" t="s">
        <v>23</v>
      </c>
      <c r="I241" s="71" t="s">
        <v>31</v>
      </c>
      <c r="J241" s="71" t="s">
        <v>24</v>
      </c>
      <c r="K241" s="71" t="s">
        <v>23</v>
      </c>
      <c r="L241" s="71" t="s">
        <v>33</v>
      </c>
      <c r="M241" s="71" t="s">
        <v>180</v>
      </c>
      <c r="N241" s="71" t="s">
        <v>23</v>
      </c>
      <c r="O241" s="71" t="s">
        <v>33</v>
      </c>
      <c r="P241" s="71" t="s">
        <v>34</v>
      </c>
      <c r="Q241" s="71" t="s">
        <v>210</v>
      </c>
      <c r="R241" s="72" t="s">
        <v>236</v>
      </c>
      <c r="S241" s="73" t="s">
        <v>59</v>
      </c>
      <c r="T241" s="74"/>
      <c r="U241" s="74"/>
      <c r="V241" s="74">
        <v>500</v>
      </c>
      <c r="W241" s="74"/>
      <c r="X241" s="74"/>
      <c r="Y241" s="74"/>
      <c r="Z241" s="75">
        <f t="shared" ref="Z241:Z243" si="45">V241</f>
        <v>500</v>
      </c>
      <c r="AA241" s="73">
        <v>2017</v>
      </c>
      <c r="AB241" s="48"/>
      <c r="AC241" s="42"/>
      <c r="AD241" s="42"/>
      <c r="AE241" s="43"/>
      <c r="AF241" s="43"/>
    </row>
    <row r="242" spans="1:32" s="65" customFormat="1" ht="60" x14ac:dyDescent="0.25">
      <c r="A242" s="71" t="s">
        <v>23</v>
      </c>
      <c r="B242" s="71" t="s">
        <v>23</v>
      </c>
      <c r="C242" s="71" t="s">
        <v>35</v>
      </c>
      <c r="D242" s="72">
        <v>0</v>
      </c>
      <c r="E242" s="72">
        <v>4</v>
      </c>
      <c r="F242" s="72">
        <v>0</v>
      </c>
      <c r="G242" s="72">
        <v>9</v>
      </c>
      <c r="H242" s="71" t="s">
        <v>23</v>
      </c>
      <c r="I242" s="71" t="s">
        <v>31</v>
      </c>
      <c r="J242" s="71" t="s">
        <v>24</v>
      </c>
      <c r="K242" s="71" t="s">
        <v>23</v>
      </c>
      <c r="L242" s="71" t="s">
        <v>33</v>
      </c>
      <c r="M242" s="71" t="s">
        <v>180</v>
      </c>
      <c r="N242" s="71" t="s">
        <v>23</v>
      </c>
      <c r="O242" s="71" t="s">
        <v>33</v>
      </c>
      <c r="P242" s="71" t="s">
        <v>34</v>
      </c>
      <c r="Q242" s="71" t="s">
        <v>220</v>
      </c>
      <c r="R242" s="72" t="s">
        <v>236</v>
      </c>
      <c r="S242" s="73" t="s">
        <v>59</v>
      </c>
      <c r="T242" s="74"/>
      <c r="U242" s="74"/>
      <c r="V242" s="74">
        <v>268.2</v>
      </c>
      <c r="W242" s="74"/>
      <c r="X242" s="74"/>
      <c r="Y242" s="74"/>
      <c r="Z242" s="75">
        <f t="shared" si="45"/>
        <v>268.2</v>
      </c>
      <c r="AA242" s="73">
        <v>2017</v>
      </c>
      <c r="AB242" s="48"/>
      <c r="AC242" s="42"/>
      <c r="AD242" s="42"/>
      <c r="AE242" s="43"/>
      <c r="AF242" s="43"/>
    </row>
    <row r="243" spans="1:32" s="65" customFormat="1" ht="60" x14ac:dyDescent="0.25">
      <c r="A243" s="71" t="s">
        <v>23</v>
      </c>
      <c r="B243" s="71" t="s">
        <v>23</v>
      </c>
      <c r="C243" s="71" t="s">
        <v>35</v>
      </c>
      <c r="D243" s="72">
        <v>0</v>
      </c>
      <c r="E243" s="72">
        <v>4</v>
      </c>
      <c r="F243" s="72">
        <v>0</v>
      </c>
      <c r="G243" s="72">
        <v>9</v>
      </c>
      <c r="H243" s="71" t="s">
        <v>23</v>
      </c>
      <c r="I243" s="71" t="s">
        <v>31</v>
      </c>
      <c r="J243" s="71" t="s">
        <v>24</v>
      </c>
      <c r="K243" s="71" t="s">
        <v>23</v>
      </c>
      <c r="L243" s="71" t="s">
        <v>33</v>
      </c>
      <c r="M243" s="71" t="s">
        <v>180</v>
      </c>
      <c r="N243" s="71" t="s">
        <v>23</v>
      </c>
      <c r="O243" s="71" t="s">
        <v>33</v>
      </c>
      <c r="P243" s="71" t="s">
        <v>34</v>
      </c>
      <c r="Q243" s="71" t="s">
        <v>221</v>
      </c>
      <c r="R243" s="72" t="s">
        <v>236</v>
      </c>
      <c r="S243" s="73" t="s">
        <v>59</v>
      </c>
      <c r="T243" s="74"/>
      <c r="U243" s="74"/>
      <c r="V243" s="74">
        <v>400</v>
      </c>
      <c r="W243" s="74"/>
      <c r="X243" s="74"/>
      <c r="Y243" s="74"/>
      <c r="Z243" s="75">
        <f t="shared" si="45"/>
        <v>400</v>
      </c>
      <c r="AA243" s="73">
        <v>2017</v>
      </c>
      <c r="AB243" s="48"/>
      <c r="AC243" s="42"/>
      <c r="AD243" s="42"/>
      <c r="AE243" s="43"/>
      <c r="AF243" s="43"/>
    </row>
    <row r="244" spans="1:32" s="65" customFormat="1" ht="29.25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17" t="s">
        <v>237</v>
      </c>
      <c r="S244" s="15" t="s">
        <v>60</v>
      </c>
      <c r="T244" s="8"/>
      <c r="U244" s="8"/>
      <c r="V244" s="8">
        <v>1</v>
      </c>
      <c r="W244" s="8"/>
      <c r="X244" s="8"/>
      <c r="Y244" s="8"/>
      <c r="Z244" s="5">
        <f>V244</f>
        <v>1</v>
      </c>
      <c r="AA244" s="15">
        <v>2017</v>
      </c>
      <c r="AB244" s="48"/>
      <c r="AC244" s="42"/>
      <c r="AD244" s="42"/>
      <c r="AE244" s="43"/>
      <c r="AF244" s="43"/>
    </row>
    <row r="245" spans="1:32" ht="31.9" customHeight="1" x14ac:dyDescent="0.25">
      <c r="A245" s="61" t="s">
        <v>23</v>
      </c>
      <c r="B245" s="61" t="s">
        <v>23</v>
      </c>
      <c r="C245" s="61" t="s">
        <v>23</v>
      </c>
      <c r="D245" s="61" t="s">
        <v>23</v>
      </c>
      <c r="E245" s="61" t="s">
        <v>33</v>
      </c>
      <c r="F245" s="61" t="s">
        <v>23</v>
      </c>
      <c r="G245" s="61" t="s">
        <v>31</v>
      </c>
      <c r="H245" s="61" t="s">
        <v>23</v>
      </c>
      <c r="I245" s="61" t="s">
        <v>31</v>
      </c>
      <c r="J245" s="61" t="s">
        <v>25</v>
      </c>
      <c r="K245" s="61" t="s">
        <v>23</v>
      </c>
      <c r="L245" s="61" t="s">
        <v>23</v>
      </c>
      <c r="M245" s="61" t="s">
        <v>23</v>
      </c>
      <c r="N245" s="61" t="s">
        <v>23</v>
      </c>
      <c r="O245" s="61" t="s">
        <v>23</v>
      </c>
      <c r="P245" s="61" t="s">
        <v>23</v>
      </c>
      <c r="Q245" s="61" t="s">
        <v>23</v>
      </c>
      <c r="R245" s="62" t="s">
        <v>139</v>
      </c>
      <c r="S245" s="7" t="s">
        <v>59</v>
      </c>
      <c r="T245" s="3">
        <f t="shared" ref="T245:Z245" si="46">T246</f>
        <v>613664.9</v>
      </c>
      <c r="U245" s="3">
        <f t="shared" si="46"/>
        <v>343332.7</v>
      </c>
      <c r="V245" s="3">
        <f t="shared" si="46"/>
        <v>244552</v>
      </c>
      <c r="W245" s="3">
        <f t="shared" si="46"/>
        <v>103000</v>
      </c>
      <c r="X245" s="3">
        <f t="shared" si="46"/>
        <v>93700</v>
      </c>
      <c r="Y245" s="3">
        <f t="shared" si="46"/>
        <v>110160</v>
      </c>
      <c r="Z245" s="3">
        <f t="shared" si="46"/>
        <v>1508409.5999999999</v>
      </c>
      <c r="AA245" s="7">
        <v>2020</v>
      </c>
    </row>
    <row r="246" spans="1:32" ht="42.75" x14ac:dyDescent="0.25">
      <c r="A246" s="20">
        <v>0</v>
      </c>
      <c r="B246" s="20">
        <v>0</v>
      </c>
      <c r="C246" s="20">
        <v>0</v>
      </c>
      <c r="D246" s="20">
        <v>0</v>
      </c>
      <c r="E246" s="20">
        <v>4</v>
      </c>
      <c r="F246" s="20">
        <v>0</v>
      </c>
      <c r="G246" s="20">
        <v>8</v>
      </c>
      <c r="H246" s="20">
        <v>0</v>
      </c>
      <c r="I246" s="63" t="s">
        <v>31</v>
      </c>
      <c r="J246" s="63" t="s">
        <v>25</v>
      </c>
      <c r="K246" s="63" t="s">
        <v>23</v>
      </c>
      <c r="L246" s="63" t="s">
        <v>24</v>
      </c>
      <c r="M246" s="63" t="s">
        <v>23</v>
      </c>
      <c r="N246" s="63" t="s">
        <v>23</v>
      </c>
      <c r="O246" s="63" t="s">
        <v>23</v>
      </c>
      <c r="P246" s="63" t="s">
        <v>23</v>
      </c>
      <c r="Q246" s="63" t="s">
        <v>23</v>
      </c>
      <c r="R246" s="64" t="s">
        <v>29</v>
      </c>
      <c r="S246" s="28" t="s">
        <v>59</v>
      </c>
      <c r="T246" s="16">
        <f>T249+T251+T253+T273+T279</f>
        <v>613664.9</v>
      </c>
      <c r="U246" s="16">
        <f>U249+U251+U253+U273+U279+U285</f>
        <v>343332.7</v>
      </c>
      <c r="V246" s="16">
        <f>V249+V251+V253+V273+V280+V285</f>
        <v>244552</v>
      </c>
      <c r="W246" s="16">
        <f t="shared" ref="W246:Y246" si="47">W249+W251+W253+W274+W280+W285</f>
        <v>103000</v>
      </c>
      <c r="X246" s="16">
        <f t="shared" si="47"/>
        <v>93700</v>
      </c>
      <c r="Y246" s="16">
        <f t="shared" si="47"/>
        <v>110160</v>
      </c>
      <c r="Z246" s="16">
        <f>Z249+Z251+Z253+Z273+Z279+Z285</f>
        <v>1508409.5999999999</v>
      </c>
      <c r="AA246" s="28">
        <v>2020</v>
      </c>
    </row>
    <row r="247" spans="1:32" s="22" customFormat="1" ht="45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5"/>
      <c r="R247" s="17" t="s">
        <v>140</v>
      </c>
      <c r="S247" s="15" t="s">
        <v>61</v>
      </c>
      <c r="T247" s="8">
        <v>32718</v>
      </c>
      <c r="U247" s="8">
        <v>19505</v>
      </c>
      <c r="V247" s="8">
        <v>26453.200000000001</v>
      </c>
      <c r="W247" s="8">
        <v>26453.200000000001</v>
      </c>
      <c r="X247" s="8">
        <v>26453.200000000001</v>
      </c>
      <c r="Y247" s="8">
        <v>26453.200000000001</v>
      </c>
      <c r="Z247" s="5">
        <f>T247+U247+V247+W247+X247+Y247</f>
        <v>158035.80000000002</v>
      </c>
      <c r="AA247" s="15">
        <v>2020</v>
      </c>
      <c r="AB247" s="48"/>
      <c r="AC247" s="48"/>
      <c r="AD247" s="48"/>
      <c r="AE247" s="1"/>
      <c r="AF247" s="1"/>
    </row>
    <row r="248" spans="1:32" s="22" customFormat="1" ht="30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5"/>
      <c r="R248" s="17" t="s">
        <v>175</v>
      </c>
      <c r="S248" s="15" t="s">
        <v>54</v>
      </c>
      <c r="T248" s="21">
        <f>T261+T262+T263+T277</f>
        <v>10</v>
      </c>
      <c r="U248" s="21">
        <f>U261+U262+U263+U277</f>
        <v>3</v>
      </c>
      <c r="V248" s="21"/>
      <c r="W248" s="21"/>
      <c r="X248" s="21"/>
      <c r="Y248" s="21"/>
      <c r="Z248" s="6">
        <f>Z261+Z262+Z263+Z277</f>
        <v>13</v>
      </c>
      <c r="AA248" s="15">
        <v>2016</v>
      </c>
      <c r="AB248" s="48"/>
      <c r="AC248" s="48"/>
      <c r="AD248" s="48"/>
      <c r="AE248" s="1"/>
      <c r="AF248" s="1"/>
    </row>
    <row r="249" spans="1:32" ht="45" x14ac:dyDescent="0.25">
      <c r="A249" s="73">
        <v>0</v>
      </c>
      <c r="B249" s="73">
        <v>1</v>
      </c>
      <c r="C249" s="73">
        <v>2</v>
      </c>
      <c r="D249" s="73">
        <v>0</v>
      </c>
      <c r="E249" s="73">
        <v>4</v>
      </c>
      <c r="F249" s="73">
        <v>0</v>
      </c>
      <c r="G249" s="73">
        <v>8</v>
      </c>
      <c r="H249" s="73">
        <v>0</v>
      </c>
      <c r="I249" s="73">
        <v>8</v>
      </c>
      <c r="J249" s="71" t="s">
        <v>25</v>
      </c>
      <c r="K249" s="71" t="s">
        <v>23</v>
      </c>
      <c r="L249" s="71" t="s">
        <v>24</v>
      </c>
      <c r="M249" s="71" t="s">
        <v>23</v>
      </c>
      <c r="N249" s="71" t="s">
        <v>23</v>
      </c>
      <c r="O249" s="71"/>
      <c r="P249" s="71"/>
      <c r="Q249" s="71"/>
      <c r="R249" s="72" t="s">
        <v>141</v>
      </c>
      <c r="S249" s="73" t="s">
        <v>59</v>
      </c>
      <c r="T249" s="74">
        <f>58149+62051+8731</f>
        <v>128931</v>
      </c>
      <c r="U249" s="74"/>
      <c r="V249" s="74"/>
      <c r="W249" s="74"/>
      <c r="X249" s="74"/>
      <c r="Y249" s="74"/>
      <c r="Z249" s="75">
        <f>T249+U249+V249+W249+X249+Y249</f>
        <v>128931</v>
      </c>
      <c r="AA249" s="73">
        <v>2015</v>
      </c>
    </row>
    <row r="250" spans="1:32" ht="30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17" t="s">
        <v>142</v>
      </c>
      <c r="S250" s="15" t="s">
        <v>10</v>
      </c>
      <c r="T250" s="21">
        <v>100</v>
      </c>
      <c r="U250" s="21"/>
      <c r="V250" s="21"/>
      <c r="W250" s="21"/>
      <c r="X250" s="21"/>
      <c r="Y250" s="21"/>
      <c r="Z250" s="6">
        <v>100</v>
      </c>
      <c r="AA250" s="15">
        <v>2015</v>
      </c>
    </row>
    <row r="251" spans="1:32" s="22" customFormat="1" ht="59.25" x14ac:dyDescent="0.25">
      <c r="A251" s="73">
        <v>0</v>
      </c>
      <c r="B251" s="73">
        <v>1</v>
      </c>
      <c r="C251" s="73">
        <v>2</v>
      </c>
      <c r="D251" s="73">
        <v>0</v>
      </c>
      <c r="E251" s="73">
        <v>4</v>
      </c>
      <c r="F251" s="73">
        <v>0</v>
      </c>
      <c r="G251" s="73">
        <v>8</v>
      </c>
      <c r="H251" s="73">
        <v>0</v>
      </c>
      <c r="I251" s="73">
        <v>8</v>
      </c>
      <c r="J251" s="71" t="s">
        <v>25</v>
      </c>
      <c r="K251" s="71" t="s">
        <v>23</v>
      </c>
      <c r="L251" s="71" t="s">
        <v>24</v>
      </c>
      <c r="M251" s="71" t="s">
        <v>23</v>
      </c>
      <c r="N251" s="71" t="s">
        <v>23</v>
      </c>
      <c r="O251" s="71"/>
      <c r="P251" s="71"/>
      <c r="Q251" s="71"/>
      <c r="R251" s="72" t="s">
        <v>143</v>
      </c>
      <c r="S251" s="73" t="s">
        <v>59</v>
      </c>
      <c r="T251" s="74">
        <f>10000+29791+34000+21269</f>
        <v>95060</v>
      </c>
      <c r="U251" s="74"/>
      <c r="V251" s="74"/>
      <c r="W251" s="74"/>
      <c r="X251" s="74"/>
      <c r="Y251" s="74"/>
      <c r="Z251" s="75">
        <f>T251+U251+V251+W251+X251+Y251</f>
        <v>95060</v>
      </c>
      <c r="AA251" s="73">
        <v>2015</v>
      </c>
      <c r="AB251" s="48"/>
      <c r="AC251" s="48"/>
      <c r="AD251" s="48"/>
      <c r="AE251" s="1"/>
      <c r="AF251" s="1"/>
    </row>
    <row r="252" spans="1:32" ht="30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17" t="s">
        <v>144</v>
      </c>
      <c r="S252" s="15" t="s">
        <v>10</v>
      </c>
      <c r="T252" s="21">
        <v>100</v>
      </c>
      <c r="U252" s="21"/>
      <c r="V252" s="21"/>
      <c r="W252" s="21"/>
      <c r="X252" s="21"/>
      <c r="Y252" s="21"/>
      <c r="Z252" s="6">
        <v>100</v>
      </c>
      <c r="AA252" s="15">
        <v>2015</v>
      </c>
    </row>
    <row r="253" spans="1:32" ht="30" x14ac:dyDescent="0.25">
      <c r="A253" s="71"/>
      <c r="B253" s="71"/>
      <c r="C253" s="71"/>
      <c r="D253" s="71" t="s">
        <v>23</v>
      </c>
      <c r="E253" s="71" t="s">
        <v>33</v>
      </c>
      <c r="F253" s="71" t="s">
        <v>23</v>
      </c>
      <c r="G253" s="71" t="s">
        <v>31</v>
      </c>
      <c r="H253" s="71" t="s">
        <v>23</v>
      </c>
      <c r="I253" s="71" t="s">
        <v>31</v>
      </c>
      <c r="J253" s="71" t="s">
        <v>25</v>
      </c>
      <c r="K253" s="71" t="s">
        <v>23</v>
      </c>
      <c r="L253" s="71" t="s">
        <v>23</v>
      </c>
      <c r="M253" s="71" t="s">
        <v>23</v>
      </c>
      <c r="N253" s="71" t="s">
        <v>23</v>
      </c>
      <c r="O253" s="71" t="s">
        <v>23</v>
      </c>
      <c r="P253" s="71" t="s">
        <v>23</v>
      </c>
      <c r="Q253" s="71" t="s">
        <v>23</v>
      </c>
      <c r="R253" s="72" t="s">
        <v>50</v>
      </c>
      <c r="S253" s="73" t="s">
        <v>59</v>
      </c>
      <c r="T253" s="75">
        <f>T254+T255+T256+T257</f>
        <v>239550</v>
      </c>
      <c r="U253" s="75">
        <f>U258+U259+U260</f>
        <v>4377.1000000000004</v>
      </c>
      <c r="V253" s="75"/>
      <c r="W253" s="75"/>
      <c r="X253" s="75"/>
      <c r="Y253" s="75"/>
      <c r="Z253" s="75">
        <f t="shared" ref="Z253:Z263" si="48">T253+U253+V253+W253+X253+Y253</f>
        <v>243927.1</v>
      </c>
      <c r="AA253" s="73">
        <v>2016</v>
      </c>
    </row>
    <row r="254" spans="1:32" ht="30" x14ac:dyDescent="0.25">
      <c r="A254" s="71" t="s">
        <v>23</v>
      </c>
      <c r="B254" s="71" t="s">
        <v>24</v>
      </c>
      <c r="C254" s="71" t="s">
        <v>25</v>
      </c>
      <c r="D254" s="71" t="s">
        <v>23</v>
      </c>
      <c r="E254" s="71" t="s">
        <v>33</v>
      </c>
      <c r="F254" s="71" t="s">
        <v>23</v>
      </c>
      <c r="G254" s="71" t="s">
        <v>31</v>
      </c>
      <c r="H254" s="71" t="s">
        <v>23</v>
      </c>
      <c r="I254" s="71" t="s">
        <v>31</v>
      </c>
      <c r="J254" s="71" t="s">
        <v>25</v>
      </c>
      <c r="K254" s="71" t="s">
        <v>23</v>
      </c>
      <c r="L254" s="71" t="s">
        <v>24</v>
      </c>
      <c r="M254" s="71" t="s">
        <v>23</v>
      </c>
      <c r="N254" s="71" t="s">
        <v>24</v>
      </c>
      <c r="O254" s="71"/>
      <c r="P254" s="71"/>
      <c r="Q254" s="71"/>
      <c r="R254" s="72" t="s">
        <v>50</v>
      </c>
      <c r="S254" s="73" t="s">
        <v>59</v>
      </c>
      <c r="T254" s="74">
        <f>90000+2250</f>
        <v>92250</v>
      </c>
      <c r="U254" s="74"/>
      <c r="V254" s="74"/>
      <c r="W254" s="74"/>
      <c r="X254" s="74"/>
      <c r="Y254" s="74"/>
      <c r="Z254" s="75">
        <f t="shared" si="48"/>
        <v>92250</v>
      </c>
      <c r="AA254" s="73">
        <v>2015</v>
      </c>
    </row>
    <row r="255" spans="1:32" ht="30" x14ac:dyDescent="0.25">
      <c r="A255" s="71" t="s">
        <v>23</v>
      </c>
      <c r="B255" s="71" t="s">
        <v>24</v>
      </c>
      <c r="C255" s="71" t="s">
        <v>25</v>
      </c>
      <c r="D255" s="71" t="s">
        <v>23</v>
      </c>
      <c r="E255" s="71" t="s">
        <v>33</v>
      </c>
      <c r="F255" s="71" t="s">
        <v>23</v>
      </c>
      <c r="G255" s="71" t="s">
        <v>31</v>
      </c>
      <c r="H255" s="71" t="s">
        <v>23</v>
      </c>
      <c r="I255" s="71" t="s">
        <v>31</v>
      </c>
      <c r="J255" s="71" t="s">
        <v>25</v>
      </c>
      <c r="K255" s="71" t="s">
        <v>39</v>
      </c>
      <c r="L255" s="71" t="s">
        <v>35</v>
      </c>
      <c r="M255" s="71" t="s">
        <v>34</v>
      </c>
      <c r="N255" s="71" t="s">
        <v>25</v>
      </c>
      <c r="O255" s="71"/>
      <c r="P255" s="71"/>
      <c r="Q255" s="71"/>
      <c r="R255" s="72" t="s">
        <v>50</v>
      </c>
      <c r="S255" s="73" t="s">
        <v>59</v>
      </c>
      <c r="T255" s="74">
        <f>60000+74550</f>
        <v>134550</v>
      </c>
      <c r="U255" s="74"/>
      <c r="V255" s="74"/>
      <c r="W255" s="74"/>
      <c r="X255" s="74"/>
      <c r="Y255" s="74"/>
      <c r="Z255" s="75">
        <f t="shared" si="48"/>
        <v>134550</v>
      </c>
      <c r="AA255" s="73">
        <v>2015</v>
      </c>
    </row>
    <row r="256" spans="1:32" ht="30" x14ac:dyDescent="0.25">
      <c r="A256" s="71" t="s">
        <v>23</v>
      </c>
      <c r="B256" s="71" t="s">
        <v>24</v>
      </c>
      <c r="C256" s="71" t="s">
        <v>25</v>
      </c>
      <c r="D256" s="71" t="s">
        <v>23</v>
      </c>
      <c r="E256" s="71" t="s">
        <v>33</v>
      </c>
      <c r="F256" s="71" t="s">
        <v>23</v>
      </c>
      <c r="G256" s="71" t="s">
        <v>31</v>
      </c>
      <c r="H256" s="71" t="s">
        <v>23</v>
      </c>
      <c r="I256" s="71" t="s">
        <v>31</v>
      </c>
      <c r="J256" s="71" t="s">
        <v>25</v>
      </c>
      <c r="K256" s="71" t="s">
        <v>30</v>
      </c>
      <c r="L256" s="71" t="s">
        <v>23</v>
      </c>
      <c r="M256" s="71" t="s">
        <v>25</v>
      </c>
      <c r="N256" s="71" t="s">
        <v>39</v>
      </c>
      <c r="O256" s="71"/>
      <c r="P256" s="71"/>
      <c r="Q256" s="71"/>
      <c r="R256" s="72" t="s">
        <v>50</v>
      </c>
      <c r="S256" s="73" t="s">
        <v>59</v>
      </c>
      <c r="T256" s="74">
        <v>10500</v>
      </c>
      <c r="U256" s="74"/>
      <c r="V256" s="74"/>
      <c r="W256" s="74"/>
      <c r="X256" s="74"/>
      <c r="Y256" s="74"/>
      <c r="Z256" s="75">
        <f>T256+U256+V256+W256+X256+Y256</f>
        <v>10500</v>
      </c>
      <c r="AA256" s="73">
        <v>2015</v>
      </c>
    </row>
    <row r="257" spans="1:32" ht="30" x14ac:dyDescent="0.25">
      <c r="A257" s="71" t="s">
        <v>23</v>
      </c>
      <c r="B257" s="71" t="s">
        <v>24</v>
      </c>
      <c r="C257" s="71" t="s">
        <v>25</v>
      </c>
      <c r="D257" s="71" t="s">
        <v>23</v>
      </c>
      <c r="E257" s="71" t="s">
        <v>33</v>
      </c>
      <c r="F257" s="71" t="s">
        <v>23</v>
      </c>
      <c r="G257" s="71" t="s">
        <v>31</v>
      </c>
      <c r="H257" s="71" t="s">
        <v>23</v>
      </c>
      <c r="I257" s="71" t="s">
        <v>31</v>
      </c>
      <c r="J257" s="71" t="s">
        <v>25</v>
      </c>
      <c r="K257" s="71" t="s">
        <v>39</v>
      </c>
      <c r="L257" s="71" t="s">
        <v>33</v>
      </c>
      <c r="M257" s="71" t="s">
        <v>35</v>
      </c>
      <c r="N257" s="71" t="s">
        <v>25</v>
      </c>
      <c r="O257" s="71"/>
      <c r="P257" s="71"/>
      <c r="Q257" s="71"/>
      <c r="R257" s="72" t="s">
        <v>50</v>
      </c>
      <c r="S257" s="73" t="s">
        <v>59</v>
      </c>
      <c r="T257" s="74">
        <v>2250</v>
      </c>
      <c r="U257" s="74"/>
      <c r="V257" s="74"/>
      <c r="W257" s="74"/>
      <c r="X257" s="74"/>
      <c r="Y257" s="74"/>
      <c r="Z257" s="75">
        <f>T257+U257+V257+W257+X257+Y257</f>
        <v>2250</v>
      </c>
      <c r="AA257" s="73">
        <v>2015</v>
      </c>
    </row>
    <row r="258" spans="1:32" ht="30" x14ac:dyDescent="0.25">
      <c r="A258" s="71" t="s">
        <v>23</v>
      </c>
      <c r="B258" s="71" t="s">
        <v>24</v>
      </c>
      <c r="C258" s="71" t="s">
        <v>31</v>
      </c>
      <c r="D258" s="71" t="s">
        <v>23</v>
      </c>
      <c r="E258" s="71" t="s">
        <v>33</v>
      </c>
      <c r="F258" s="71" t="s">
        <v>23</v>
      </c>
      <c r="G258" s="71" t="s">
        <v>31</v>
      </c>
      <c r="H258" s="71" t="s">
        <v>23</v>
      </c>
      <c r="I258" s="71" t="s">
        <v>31</v>
      </c>
      <c r="J258" s="71" t="s">
        <v>25</v>
      </c>
      <c r="K258" s="71" t="s">
        <v>23</v>
      </c>
      <c r="L258" s="71" t="s">
        <v>24</v>
      </c>
      <c r="M258" s="71" t="s">
        <v>30</v>
      </c>
      <c r="N258" s="71" t="s">
        <v>23</v>
      </c>
      <c r="O258" s="71" t="s">
        <v>25</v>
      </c>
      <c r="P258" s="71" t="s">
        <v>39</v>
      </c>
      <c r="Q258" s="71" t="s">
        <v>212</v>
      </c>
      <c r="R258" s="72" t="s">
        <v>50</v>
      </c>
      <c r="S258" s="73" t="s">
        <v>59</v>
      </c>
      <c r="T258" s="74"/>
      <c r="U258" s="74">
        <v>3063.9</v>
      </c>
      <c r="V258" s="74"/>
      <c r="W258" s="74"/>
      <c r="X258" s="74"/>
      <c r="Y258" s="74"/>
      <c r="Z258" s="75">
        <f t="shared" ref="Z258:Z259" si="49">T258+U258+V258+W258+X258+Y258</f>
        <v>3063.9</v>
      </c>
      <c r="AA258" s="73">
        <v>2016</v>
      </c>
    </row>
    <row r="259" spans="1:32" ht="30" x14ac:dyDescent="0.25">
      <c r="A259" s="71" t="s">
        <v>23</v>
      </c>
      <c r="B259" s="71" t="s">
        <v>24</v>
      </c>
      <c r="C259" s="71" t="s">
        <v>31</v>
      </c>
      <c r="D259" s="71" t="s">
        <v>23</v>
      </c>
      <c r="E259" s="71" t="s">
        <v>33</v>
      </c>
      <c r="F259" s="71" t="s">
        <v>23</v>
      </c>
      <c r="G259" s="71" t="s">
        <v>31</v>
      </c>
      <c r="H259" s="71" t="s">
        <v>23</v>
      </c>
      <c r="I259" s="71" t="s">
        <v>31</v>
      </c>
      <c r="J259" s="71" t="s">
        <v>25</v>
      </c>
      <c r="K259" s="71" t="s">
        <v>23</v>
      </c>
      <c r="L259" s="71" t="s">
        <v>24</v>
      </c>
      <c r="M259" s="71" t="s">
        <v>213</v>
      </c>
      <c r="N259" s="71" t="s">
        <v>23</v>
      </c>
      <c r="O259" s="71" t="s">
        <v>25</v>
      </c>
      <c r="P259" s="71" t="s">
        <v>39</v>
      </c>
      <c r="Q259" s="71" t="s">
        <v>212</v>
      </c>
      <c r="R259" s="72" t="s">
        <v>50</v>
      </c>
      <c r="S259" s="73" t="s">
        <v>59</v>
      </c>
      <c r="T259" s="74"/>
      <c r="U259" s="74">
        <v>656.6</v>
      </c>
      <c r="V259" s="74"/>
      <c r="W259" s="74"/>
      <c r="X259" s="74"/>
      <c r="Y259" s="74"/>
      <c r="Z259" s="75">
        <f t="shared" si="49"/>
        <v>656.6</v>
      </c>
      <c r="AA259" s="73">
        <v>2016</v>
      </c>
    </row>
    <row r="260" spans="1:32" ht="30" x14ac:dyDescent="0.25">
      <c r="A260" s="71" t="s">
        <v>23</v>
      </c>
      <c r="B260" s="71" t="s">
        <v>24</v>
      </c>
      <c r="C260" s="71" t="s">
        <v>31</v>
      </c>
      <c r="D260" s="71" t="s">
        <v>23</v>
      </c>
      <c r="E260" s="71" t="s">
        <v>33</v>
      </c>
      <c r="F260" s="71" t="s">
        <v>23</v>
      </c>
      <c r="G260" s="71" t="s">
        <v>31</v>
      </c>
      <c r="H260" s="71" t="s">
        <v>23</v>
      </c>
      <c r="I260" s="71" t="s">
        <v>31</v>
      </c>
      <c r="J260" s="71" t="s">
        <v>25</v>
      </c>
      <c r="K260" s="71" t="s">
        <v>23</v>
      </c>
      <c r="L260" s="71" t="s">
        <v>24</v>
      </c>
      <c r="M260" s="71" t="s">
        <v>23</v>
      </c>
      <c r="N260" s="71" t="s">
        <v>23</v>
      </c>
      <c r="O260" s="71" t="s">
        <v>23</v>
      </c>
      <c r="P260" s="71" t="s">
        <v>23</v>
      </c>
      <c r="Q260" s="71" t="s">
        <v>24</v>
      </c>
      <c r="R260" s="72" t="s">
        <v>50</v>
      </c>
      <c r="S260" s="73" t="s">
        <v>59</v>
      </c>
      <c r="T260" s="74"/>
      <c r="U260" s="74">
        <v>656.6</v>
      </c>
      <c r="V260" s="74"/>
      <c r="W260" s="74"/>
      <c r="X260" s="74"/>
      <c r="Y260" s="74"/>
      <c r="Z260" s="75">
        <f>T260+U260+V260+W260+X260+Y260</f>
        <v>656.6</v>
      </c>
      <c r="AA260" s="73">
        <v>2016</v>
      </c>
    </row>
    <row r="261" spans="1:32" ht="30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5"/>
      <c r="R261" s="17" t="s">
        <v>51</v>
      </c>
      <c r="S261" s="15" t="s">
        <v>54</v>
      </c>
      <c r="T261" s="18">
        <v>2</v>
      </c>
      <c r="U261" s="18"/>
      <c r="V261" s="18"/>
      <c r="W261" s="18"/>
      <c r="X261" s="18"/>
      <c r="Y261" s="18"/>
      <c r="Z261" s="6">
        <f t="shared" si="48"/>
        <v>2</v>
      </c>
      <c r="AA261" s="15">
        <v>2015</v>
      </c>
    </row>
    <row r="262" spans="1:32" ht="30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5"/>
      <c r="R262" s="17" t="s">
        <v>52</v>
      </c>
      <c r="S262" s="15" t="s">
        <v>54</v>
      </c>
      <c r="T262" s="18"/>
      <c r="U262" s="18">
        <v>3</v>
      </c>
      <c r="V262" s="18"/>
      <c r="W262" s="18"/>
      <c r="X262" s="18"/>
      <c r="Y262" s="18"/>
      <c r="Z262" s="6">
        <f t="shared" si="48"/>
        <v>3</v>
      </c>
      <c r="AA262" s="15">
        <v>2016</v>
      </c>
    </row>
    <row r="263" spans="1:32" ht="30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5"/>
      <c r="R263" s="17" t="s">
        <v>70</v>
      </c>
      <c r="S263" s="15" t="s">
        <v>54</v>
      </c>
      <c r="T263" s="18">
        <v>5</v>
      </c>
      <c r="U263" s="18"/>
      <c r="V263" s="18"/>
      <c r="W263" s="18"/>
      <c r="X263" s="18"/>
      <c r="Y263" s="18"/>
      <c r="Z263" s="6">
        <f t="shared" si="48"/>
        <v>5</v>
      </c>
      <c r="AA263" s="15">
        <v>2015</v>
      </c>
    </row>
    <row r="264" spans="1:32" ht="44.25" x14ac:dyDescent="0.25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2" t="s">
        <v>145</v>
      </c>
      <c r="S264" s="73" t="s">
        <v>45</v>
      </c>
      <c r="T264" s="77">
        <v>1</v>
      </c>
      <c r="U264" s="77">
        <v>1</v>
      </c>
      <c r="V264" s="77">
        <v>1</v>
      </c>
      <c r="W264" s="77">
        <v>1</v>
      </c>
      <c r="X264" s="77">
        <v>1</v>
      </c>
      <c r="Y264" s="77">
        <v>1</v>
      </c>
      <c r="Z264" s="77">
        <v>1</v>
      </c>
      <c r="AA264" s="73">
        <v>2020</v>
      </c>
    </row>
    <row r="265" spans="1:32" ht="30" x14ac:dyDescent="0.2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17" t="s">
        <v>146</v>
      </c>
      <c r="S265" s="15" t="s">
        <v>55</v>
      </c>
      <c r="T265" s="18">
        <v>45</v>
      </c>
      <c r="U265" s="18">
        <v>65</v>
      </c>
      <c r="V265" s="18">
        <v>45</v>
      </c>
      <c r="W265" s="18">
        <v>45</v>
      </c>
      <c r="X265" s="18">
        <v>45</v>
      </c>
      <c r="Y265" s="18">
        <v>45</v>
      </c>
      <c r="Z265" s="6">
        <f>T265+U265+V265+W265+X265+Y265</f>
        <v>290</v>
      </c>
      <c r="AA265" s="15">
        <v>2020</v>
      </c>
    </row>
    <row r="266" spans="1:32" ht="88.9" customHeight="1" x14ac:dyDescent="0.25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2" t="s">
        <v>199</v>
      </c>
      <c r="S266" s="73" t="s">
        <v>45</v>
      </c>
      <c r="T266" s="77">
        <v>1</v>
      </c>
      <c r="U266" s="77">
        <v>1</v>
      </c>
      <c r="V266" s="77">
        <v>1</v>
      </c>
      <c r="W266" s="77">
        <v>1</v>
      </c>
      <c r="X266" s="77">
        <v>1</v>
      </c>
      <c r="Y266" s="77">
        <v>1</v>
      </c>
      <c r="Z266" s="77">
        <v>1</v>
      </c>
      <c r="AA266" s="73">
        <v>2020</v>
      </c>
    </row>
    <row r="267" spans="1:32" ht="59.45" customHeight="1" x14ac:dyDescent="0.2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17" t="s">
        <v>200</v>
      </c>
      <c r="S267" s="15" t="s">
        <v>54</v>
      </c>
      <c r="T267" s="18">
        <v>24</v>
      </c>
      <c r="U267" s="18">
        <v>30</v>
      </c>
      <c r="V267" s="18">
        <v>24</v>
      </c>
      <c r="W267" s="18">
        <v>24</v>
      </c>
      <c r="X267" s="18">
        <v>24</v>
      </c>
      <c r="Y267" s="18">
        <v>24</v>
      </c>
      <c r="Z267" s="6">
        <f>T267+U267+V267+W267+X267+Y267</f>
        <v>150</v>
      </c>
      <c r="AA267" s="15">
        <v>2020</v>
      </c>
    </row>
    <row r="268" spans="1:32" ht="45" hidden="1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17" t="s">
        <v>147</v>
      </c>
      <c r="S268" s="15" t="s">
        <v>54</v>
      </c>
      <c r="T268" s="18">
        <v>24</v>
      </c>
      <c r="U268" s="18">
        <v>24</v>
      </c>
      <c r="V268" s="18">
        <v>24</v>
      </c>
      <c r="W268" s="18">
        <v>24</v>
      </c>
      <c r="X268" s="18">
        <v>24</v>
      </c>
      <c r="Y268" s="18">
        <v>24</v>
      </c>
      <c r="Z268" s="6">
        <f>T268+U268+V268+W268+X268+Y268</f>
        <v>144</v>
      </c>
      <c r="AA268" s="15">
        <v>2020</v>
      </c>
    </row>
    <row r="269" spans="1:32" ht="45" x14ac:dyDescent="0.25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2" t="s">
        <v>148</v>
      </c>
      <c r="S269" s="73" t="s">
        <v>45</v>
      </c>
      <c r="T269" s="77">
        <v>1</v>
      </c>
      <c r="U269" s="77">
        <v>1</v>
      </c>
      <c r="V269" s="77">
        <v>1</v>
      </c>
      <c r="W269" s="77">
        <v>1</v>
      </c>
      <c r="X269" s="77">
        <v>1</v>
      </c>
      <c r="Y269" s="77">
        <v>1</v>
      </c>
      <c r="Z269" s="77">
        <v>1</v>
      </c>
      <c r="AA269" s="73">
        <v>2020</v>
      </c>
    </row>
    <row r="270" spans="1:32" ht="30" x14ac:dyDescent="0.2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17" t="s">
        <v>149</v>
      </c>
      <c r="S270" s="15" t="s">
        <v>54</v>
      </c>
      <c r="T270" s="18">
        <v>48</v>
      </c>
      <c r="U270" s="18">
        <v>48</v>
      </c>
      <c r="V270" s="18">
        <v>48</v>
      </c>
      <c r="W270" s="18">
        <v>48</v>
      </c>
      <c r="X270" s="18">
        <v>48</v>
      </c>
      <c r="Y270" s="18">
        <v>48</v>
      </c>
      <c r="Z270" s="6">
        <f>T270+U270+V270+W270+X270+Y270</f>
        <v>288</v>
      </c>
      <c r="AA270" s="15">
        <v>2020</v>
      </c>
    </row>
    <row r="271" spans="1:32" s="65" customFormat="1" ht="30" x14ac:dyDescent="0.25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2" t="s">
        <v>150</v>
      </c>
      <c r="S271" s="73" t="s">
        <v>45</v>
      </c>
      <c r="T271" s="77">
        <v>1</v>
      </c>
      <c r="U271" s="77">
        <v>1</v>
      </c>
      <c r="V271" s="77">
        <v>1</v>
      </c>
      <c r="W271" s="77">
        <v>1</v>
      </c>
      <c r="X271" s="77">
        <v>1</v>
      </c>
      <c r="Y271" s="77">
        <v>1</v>
      </c>
      <c r="Z271" s="77">
        <v>1</v>
      </c>
      <c r="AA271" s="73">
        <v>2020</v>
      </c>
      <c r="AB271" s="42"/>
      <c r="AC271" s="42"/>
      <c r="AD271" s="42"/>
      <c r="AE271" s="43"/>
      <c r="AF271" s="43"/>
    </row>
    <row r="272" spans="1:32" s="22" customFormat="1" ht="31.15" customHeight="1" x14ac:dyDescent="0.2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17" t="s">
        <v>151</v>
      </c>
      <c r="S272" s="15" t="s">
        <v>54</v>
      </c>
      <c r="T272" s="18">
        <v>4</v>
      </c>
      <c r="U272" s="18">
        <v>4</v>
      </c>
      <c r="V272" s="18">
        <v>4</v>
      </c>
      <c r="W272" s="18">
        <v>4</v>
      </c>
      <c r="X272" s="18">
        <v>4</v>
      </c>
      <c r="Y272" s="18">
        <v>4</v>
      </c>
      <c r="Z272" s="6">
        <f t="shared" ref="Z272:Z277" si="50">T272+U272+V272+W272+X272+Y272</f>
        <v>24</v>
      </c>
      <c r="AA272" s="15">
        <v>2020</v>
      </c>
      <c r="AB272" s="48"/>
      <c r="AC272" s="48"/>
      <c r="AD272" s="48"/>
      <c r="AE272" s="1"/>
      <c r="AF272" s="1"/>
    </row>
    <row r="273" spans="1:32" s="22" customFormat="1" ht="45" x14ac:dyDescent="0.25">
      <c r="A273" s="71" t="s">
        <v>23</v>
      </c>
      <c r="B273" s="71" t="s">
        <v>24</v>
      </c>
      <c r="C273" s="71" t="s">
        <v>25</v>
      </c>
      <c r="D273" s="71" t="s">
        <v>23</v>
      </c>
      <c r="E273" s="71" t="s">
        <v>33</v>
      </c>
      <c r="F273" s="71" t="s">
        <v>23</v>
      </c>
      <c r="G273" s="71" t="s">
        <v>31</v>
      </c>
      <c r="H273" s="71" t="s">
        <v>23</v>
      </c>
      <c r="I273" s="71" t="s">
        <v>31</v>
      </c>
      <c r="J273" s="71" t="s">
        <v>25</v>
      </c>
      <c r="K273" s="71" t="s">
        <v>23</v>
      </c>
      <c r="L273" s="71" t="s">
        <v>23</v>
      </c>
      <c r="M273" s="71" t="s">
        <v>23</v>
      </c>
      <c r="N273" s="71" t="s">
        <v>23</v>
      </c>
      <c r="O273" s="71"/>
      <c r="P273" s="71"/>
      <c r="Q273" s="71"/>
      <c r="R273" s="72" t="s">
        <v>76</v>
      </c>
      <c r="S273" s="73" t="s">
        <v>59</v>
      </c>
      <c r="T273" s="75">
        <f>T274+T275</f>
        <v>44000</v>
      </c>
      <c r="U273" s="75">
        <f>U274+U275+U276</f>
        <v>78296.899999999994</v>
      </c>
      <c r="V273" s="75">
        <f t="shared" ref="V273" si="51">V274+V275+V276</f>
        <v>74552</v>
      </c>
      <c r="W273" s="75"/>
      <c r="X273" s="75"/>
      <c r="Y273" s="75"/>
      <c r="Z273" s="75">
        <f t="shared" si="50"/>
        <v>196848.9</v>
      </c>
      <c r="AA273" s="73">
        <v>2017</v>
      </c>
      <c r="AB273" s="48"/>
      <c r="AC273" s="48"/>
      <c r="AD273" s="48"/>
      <c r="AE273" s="1"/>
      <c r="AF273" s="1"/>
    </row>
    <row r="274" spans="1:32" s="22" customFormat="1" ht="45" x14ac:dyDescent="0.25">
      <c r="A274" s="71" t="s">
        <v>23</v>
      </c>
      <c r="B274" s="71" t="s">
        <v>24</v>
      </c>
      <c r="C274" s="71" t="s">
        <v>25</v>
      </c>
      <c r="D274" s="71" t="s">
        <v>23</v>
      </c>
      <c r="E274" s="71" t="s">
        <v>33</v>
      </c>
      <c r="F274" s="71" t="s">
        <v>23</v>
      </c>
      <c r="G274" s="71" t="s">
        <v>31</v>
      </c>
      <c r="H274" s="71" t="s">
        <v>23</v>
      </c>
      <c r="I274" s="71" t="s">
        <v>31</v>
      </c>
      <c r="J274" s="71" t="s">
        <v>25</v>
      </c>
      <c r="K274" s="71" t="s">
        <v>23</v>
      </c>
      <c r="L274" s="71" t="s">
        <v>24</v>
      </c>
      <c r="M274" s="71" t="s">
        <v>23</v>
      </c>
      <c r="N274" s="71" t="s">
        <v>23</v>
      </c>
      <c r="O274" s="71" t="s">
        <v>23</v>
      </c>
      <c r="P274" s="71" t="s">
        <v>23</v>
      </c>
      <c r="Q274" s="71" t="s">
        <v>25</v>
      </c>
      <c r="R274" s="72" t="s">
        <v>76</v>
      </c>
      <c r="S274" s="73" t="s">
        <v>59</v>
      </c>
      <c r="T274" s="74">
        <v>22000</v>
      </c>
      <c r="U274" s="74">
        <f>44941.2-38058.5-3135.8</f>
        <v>3746.8999999999969</v>
      </c>
      <c r="V274" s="74">
        <v>44941.2</v>
      </c>
      <c r="W274" s="74"/>
      <c r="X274" s="74"/>
      <c r="Y274" s="74"/>
      <c r="Z274" s="75">
        <f t="shared" si="50"/>
        <v>70688.099999999991</v>
      </c>
      <c r="AA274" s="73">
        <v>2017</v>
      </c>
      <c r="AB274" s="48"/>
      <c r="AC274" s="48"/>
      <c r="AD274" s="48"/>
      <c r="AE274" s="1"/>
      <c r="AF274" s="1"/>
    </row>
    <row r="275" spans="1:32" s="22" customFormat="1" ht="45" x14ac:dyDescent="0.25">
      <c r="A275" s="71" t="s">
        <v>23</v>
      </c>
      <c r="B275" s="71" t="s">
        <v>24</v>
      </c>
      <c r="C275" s="71" t="s">
        <v>25</v>
      </c>
      <c r="D275" s="71" t="s">
        <v>23</v>
      </c>
      <c r="E275" s="71" t="s">
        <v>33</v>
      </c>
      <c r="F275" s="71" t="s">
        <v>23</v>
      </c>
      <c r="G275" s="71" t="s">
        <v>31</v>
      </c>
      <c r="H275" s="71" t="s">
        <v>23</v>
      </c>
      <c r="I275" s="71" t="s">
        <v>31</v>
      </c>
      <c r="J275" s="71" t="s">
        <v>25</v>
      </c>
      <c r="K275" s="71" t="s">
        <v>39</v>
      </c>
      <c r="L275" s="71" t="s">
        <v>35</v>
      </c>
      <c r="M275" s="71" t="s">
        <v>34</v>
      </c>
      <c r="N275" s="71" t="s">
        <v>25</v>
      </c>
      <c r="O275" s="71"/>
      <c r="P275" s="71"/>
      <c r="Q275" s="71"/>
      <c r="R275" s="72" t="s">
        <v>76</v>
      </c>
      <c r="S275" s="73" t="s">
        <v>59</v>
      </c>
      <c r="T275" s="74">
        <v>22000</v>
      </c>
      <c r="U275" s="74"/>
      <c r="V275" s="74"/>
      <c r="W275" s="74"/>
      <c r="X275" s="74"/>
      <c r="Y275" s="74"/>
      <c r="Z275" s="75">
        <f t="shared" si="50"/>
        <v>22000</v>
      </c>
      <c r="AA275" s="73">
        <v>2015</v>
      </c>
      <c r="AB275" s="48"/>
      <c r="AC275" s="48"/>
      <c r="AD275" s="48"/>
      <c r="AE275" s="1"/>
      <c r="AF275" s="1"/>
    </row>
    <row r="276" spans="1:32" s="22" customFormat="1" ht="45" x14ac:dyDescent="0.25">
      <c r="A276" s="71" t="s">
        <v>23</v>
      </c>
      <c r="B276" s="71" t="s">
        <v>24</v>
      </c>
      <c r="C276" s="71" t="s">
        <v>25</v>
      </c>
      <c r="D276" s="71" t="s">
        <v>23</v>
      </c>
      <c r="E276" s="71" t="s">
        <v>33</v>
      </c>
      <c r="F276" s="71" t="s">
        <v>23</v>
      </c>
      <c r="G276" s="71" t="s">
        <v>31</v>
      </c>
      <c r="H276" s="71" t="s">
        <v>23</v>
      </c>
      <c r="I276" s="71" t="s">
        <v>31</v>
      </c>
      <c r="J276" s="71" t="s">
        <v>25</v>
      </c>
      <c r="K276" s="71" t="s">
        <v>23</v>
      </c>
      <c r="L276" s="71" t="s">
        <v>24</v>
      </c>
      <c r="M276" s="71" t="s">
        <v>24</v>
      </c>
      <c r="N276" s="71" t="s">
        <v>23</v>
      </c>
      <c r="O276" s="71" t="s">
        <v>39</v>
      </c>
      <c r="P276" s="71" t="s">
        <v>25</v>
      </c>
      <c r="Q276" s="71" t="s">
        <v>178</v>
      </c>
      <c r="R276" s="72" t="s">
        <v>76</v>
      </c>
      <c r="S276" s="73" t="s">
        <v>59</v>
      </c>
      <c r="T276" s="74"/>
      <c r="U276" s="74">
        <v>74550</v>
      </c>
      <c r="V276" s="74">
        <v>29610.799999999999</v>
      </c>
      <c r="W276" s="74"/>
      <c r="X276" s="74"/>
      <c r="Y276" s="74"/>
      <c r="Z276" s="75">
        <f t="shared" si="50"/>
        <v>104160.8</v>
      </c>
      <c r="AA276" s="73">
        <v>2017</v>
      </c>
      <c r="AB276" s="48"/>
      <c r="AC276" s="48"/>
      <c r="AD276" s="48"/>
      <c r="AE276" s="1"/>
      <c r="AF276" s="1"/>
    </row>
    <row r="277" spans="1:32" s="22" customFormat="1" ht="29.25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5"/>
      <c r="R277" s="17" t="s">
        <v>77</v>
      </c>
      <c r="S277" s="15" t="s">
        <v>54</v>
      </c>
      <c r="T277" s="21">
        <v>3</v>
      </c>
      <c r="U277" s="21"/>
      <c r="V277" s="21"/>
      <c r="W277" s="21"/>
      <c r="X277" s="21"/>
      <c r="Y277" s="21"/>
      <c r="Z277" s="6">
        <f t="shared" si="50"/>
        <v>3</v>
      </c>
      <c r="AA277" s="15">
        <v>2015</v>
      </c>
      <c r="AB277" s="48"/>
      <c r="AC277" s="48"/>
      <c r="AD277" s="48"/>
      <c r="AE277" s="108"/>
      <c r="AF277" s="108"/>
    </row>
    <row r="278" spans="1:32" s="22" customFormat="1" ht="31.1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5"/>
      <c r="R278" s="17" t="s">
        <v>152</v>
      </c>
      <c r="S278" s="15" t="s">
        <v>10</v>
      </c>
      <c r="T278" s="21"/>
      <c r="U278" s="21">
        <v>50</v>
      </c>
      <c r="V278" s="21">
        <v>100</v>
      </c>
      <c r="W278" s="21"/>
      <c r="X278" s="21"/>
      <c r="Y278" s="21"/>
      <c r="Z278" s="6">
        <v>100</v>
      </c>
      <c r="AA278" s="15">
        <v>2017</v>
      </c>
      <c r="AB278" s="48"/>
      <c r="AC278" s="48"/>
      <c r="AD278" s="48"/>
      <c r="AE278" s="86"/>
      <c r="AF278" s="86"/>
    </row>
    <row r="279" spans="1:32" s="22" customFormat="1" ht="30" x14ac:dyDescent="0.25">
      <c r="A279" s="71" t="s">
        <v>23</v>
      </c>
      <c r="B279" s="71" t="s">
        <v>24</v>
      </c>
      <c r="C279" s="71" t="s">
        <v>25</v>
      </c>
      <c r="D279" s="71" t="s">
        <v>23</v>
      </c>
      <c r="E279" s="71" t="s">
        <v>33</v>
      </c>
      <c r="F279" s="71" t="s">
        <v>23</v>
      </c>
      <c r="G279" s="71" t="s">
        <v>31</v>
      </c>
      <c r="H279" s="71" t="s">
        <v>23</v>
      </c>
      <c r="I279" s="71" t="s">
        <v>31</v>
      </c>
      <c r="J279" s="71" t="s">
        <v>25</v>
      </c>
      <c r="K279" s="71" t="s">
        <v>23</v>
      </c>
      <c r="L279" s="71" t="s">
        <v>23</v>
      </c>
      <c r="M279" s="71" t="s">
        <v>23</v>
      </c>
      <c r="N279" s="71" t="s">
        <v>23</v>
      </c>
      <c r="O279" s="71" t="s">
        <v>23</v>
      </c>
      <c r="P279" s="71" t="s">
        <v>23</v>
      </c>
      <c r="Q279" s="71" t="s">
        <v>23</v>
      </c>
      <c r="R279" s="72" t="s">
        <v>71</v>
      </c>
      <c r="S279" s="73" t="s">
        <v>59</v>
      </c>
      <c r="T279" s="75">
        <f>T280+T281</f>
        <v>106123.9</v>
      </c>
      <c r="U279" s="75">
        <f>U280+U281+U282</f>
        <v>8200.7999999999993</v>
      </c>
      <c r="V279" s="73"/>
      <c r="W279" s="73"/>
      <c r="X279" s="73"/>
      <c r="Y279" s="73"/>
      <c r="Z279" s="75">
        <f t="shared" ref="Z279:Z284" si="52">T279+U279+V279+W279+X279+Y279</f>
        <v>114324.7</v>
      </c>
      <c r="AA279" s="73">
        <v>2016</v>
      </c>
      <c r="AB279" s="48"/>
      <c r="AC279" s="48"/>
      <c r="AD279" s="48"/>
      <c r="AE279" s="86"/>
      <c r="AF279" s="86"/>
    </row>
    <row r="280" spans="1:32" s="22" customFormat="1" ht="31.15" customHeight="1" x14ac:dyDescent="0.25">
      <c r="A280" s="71" t="s">
        <v>23</v>
      </c>
      <c r="B280" s="71" t="s">
        <v>24</v>
      </c>
      <c r="C280" s="71" t="s">
        <v>25</v>
      </c>
      <c r="D280" s="71" t="s">
        <v>23</v>
      </c>
      <c r="E280" s="71" t="s">
        <v>33</v>
      </c>
      <c r="F280" s="71" t="s">
        <v>23</v>
      </c>
      <c r="G280" s="71" t="s">
        <v>31</v>
      </c>
      <c r="H280" s="71" t="s">
        <v>23</v>
      </c>
      <c r="I280" s="71" t="s">
        <v>31</v>
      </c>
      <c r="J280" s="71" t="s">
        <v>25</v>
      </c>
      <c r="K280" s="71" t="s">
        <v>23</v>
      </c>
      <c r="L280" s="71" t="s">
        <v>24</v>
      </c>
      <c r="M280" s="71" t="s">
        <v>23</v>
      </c>
      <c r="N280" s="71" t="s">
        <v>23</v>
      </c>
      <c r="O280" s="71"/>
      <c r="P280" s="71"/>
      <c r="Q280" s="71"/>
      <c r="R280" s="72" t="s">
        <v>71</v>
      </c>
      <c r="S280" s="73" t="s">
        <v>59</v>
      </c>
      <c r="T280" s="74">
        <f>59700-6250-776.1</f>
        <v>52673.9</v>
      </c>
      <c r="U280" s="73"/>
      <c r="V280" s="73"/>
      <c r="W280" s="73"/>
      <c r="X280" s="73"/>
      <c r="Y280" s="73"/>
      <c r="Z280" s="75">
        <f t="shared" si="52"/>
        <v>52673.9</v>
      </c>
      <c r="AA280" s="73">
        <v>2015</v>
      </c>
      <c r="AB280" s="48"/>
      <c r="AC280" s="48"/>
      <c r="AD280" s="48"/>
      <c r="AE280" s="1"/>
      <c r="AF280" s="1"/>
    </row>
    <row r="281" spans="1:32" s="22" customFormat="1" ht="31.15" customHeight="1" x14ac:dyDescent="0.25">
      <c r="A281" s="71" t="s">
        <v>23</v>
      </c>
      <c r="B281" s="71" t="s">
        <v>24</v>
      </c>
      <c r="C281" s="71" t="s">
        <v>25</v>
      </c>
      <c r="D281" s="71" t="s">
        <v>23</v>
      </c>
      <c r="E281" s="71" t="s">
        <v>33</v>
      </c>
      <c r="F281" s="71" t="s">
        <v>23</v>
      </c>
      <c r="G281" s="71" t="s">
        <v>31</v>
      </c>
      <c r="H281" s="71" t="s">
        <v>23</v>
      </c>
      <c r="I281" s="71" t="s">
        <v>31</v>
      </c>
      <c r="J281" s="71" t="s">
        <v>25</v>
      </c>
      <c r="K281" s="71" t="s">
        <v>39</v>
      </c>
      <c r="L281" s="71" t="s">
        <v>35</v>
      </c>
      <c r="M281" s="71" t="s">
        <v>34</v>
      </c>
      <c r="N281" s="71" t="s">
        <v>25</v>
      </c>
      <c r="O281" s="71"/>
      <c r="P281" s="71"/>
      <c r="Q281" s="71"/>
      <c r="R281" s="72" t="s">
        <v>71</v>
      </c>
      <c r="S281" s="73" t="s">
        <v>59</v>
      </c>
      <c r="T281" s="74">
        <v>53450</v>
      </c>
      <c r="U281" s="73"/>
      <c r="V281" s="73"/>
      <c r="W281" s="73"/>
      <c r="X281" s="73"/>
      <c r="Y281" s="73"/>
      <c r="Z281" s="75">
        <f t="shared" si="52"/>
        <v>53450</v>
      </c>
      <c r="AA281" s="73">
        <v>2015</v>
      </c>
      <c r="AB281" s="48"/>
      <c r="AC281" s="48"/>
      <c r="AD281" s="48"/>
      <c r="AE281" s="1"/>
      <c r="AF281" s="1"/>
    </row>
    <row r="282" spans="1:32" s="22" customFormat="1" ht="31.15" customHeight="1" x14ac:dyDescent="0.25">
      <c r="A282" s="71" t="s">
        <v>23</v>
      </c>
      <c r="B282" s="71" t="s">
        <v>24</v>
      </c>
      <c r="C282" s="71" t="s">
        <v>25</v>
      </c>
      <c r="D282" s="71" t="s">
        <v>23</v>
      </c>
      <c r="E282" s="71" t="s">
        <v>33</v>
      </c>
      <c r="F282" s="71" t="s">
        <v>23</v>
      </c>
      <c r="G282" s="71" t="s">
        <v>31</v>
      </c>
      <c r="H282" s="71" t="s">
        <v>23</v>
      </c>
      <c r="I282" s="71" t="s">
        <v>31</v>
      </c>
      <c r="J282" s="71" t="s">
        <v>25</v>
      </c>
      <c r="K282" s="71" t="s">
        <v>23</v>
      </c>
      <c r="L282" s="71" t="s">
        <v>24</v>
      </c>
      <c r="M282" s="71" t="s">
        <v>24</v>
      </c>
      <c r="N282" s="71" t="s">
        <v>23</v>
      </c>
      <c r="O282" s="71" t="s">
        <v>39</v>
      </c>
      <c r="P282" s="71" t="s">
        <v>25</v>
      </c>
      <c r="Q282" s="71" t="s">
        <v>178</v>
      </c>
      <c r="R282" s="72" t="s">
        <v>71</v>
      </c>
      <c r="S282" s="73" t="s">
        <v>59</v>
      </c>
      <c r="T282" s="74"/>
      <c r="U282" s="74">
        <v>8200.7999999999993</v>
      </c>
      <c r="V282" s="74"/>
      <c r="W282" s="74"/>
      <c r="X282" s="74"/>
      <c r="Y282" s="74"/>
      <c r="Z282" s="75">
        <f t="shared" si="52"/>
        <v>8200.7999999999993</v>
      </c>
      <c r="AA282" s="73">
        <v>2016</v>
      </c>
      <c r="AB282" s="94"/>
      <c r="AC282" s="48"/>
      <c r="AD282" s="48"/>
      <c r="AE282" s="1"/>
      <c r="AF282" s="1"/>
    </row>
    <row r="283" spans="1:32" s="1" customFormat="1" ht="38.25" x14ac:dyDescent="0.2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17" t="s">
        <v>72</v>
      </c>
      <c r="S283" s="49" t="s">
        <v>73</v>
      </c>
      <c r="T283" s="8">
        <v>14.6</v>
      </c>
      <c r="U283" s="29">
        <v>7.0000000000000007E-2</v>
      </c>
      <c r="V283" s="15"/>
      <c r="W283" s="15"/>
      <c r="X283" s="15"/>
      <c r="Y283" s="15"/>
      <c r="Z283" s="98">
        <f t="shared" si="52"/>
        <v>14.67</v>
      </c>
      <c r="AA283" s="15">
        <v>2016</v>
      </c>
      <c r="AB283" s="48"/>
      <c r="AC283" s="48"/>
      <c r="AD283" s="48"/>
    </row>
    <row r="284" spans="1:32" s="22" customFormat="1" ht="38.25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5"/>
      <c r="R284" s="17" t="s">
        <v>74</v>
      </c>
      <c r="S284" s="49" t="s">
        <v>73</v>
      </c>
      <c r="T284" s="8">
        <v>7.1</v>
      </c>
      <c r="U284" s="29">
        <v>0.22</v>
      </c>
      <c r="V284" s="21"/>
      <c r="W284" s="21"/>
      <c r="X284" s="21"/>
      <c r="Y284" s="21"/>
      <c r="Z284" s="98">
        <f t="shared" si="52"/>
        <v>7.3199999999999994</v>
      </c>
      <c r="AA284" s="15">
        <v>2016</v>
      </c>
      <c r="AB284" s="48"/>
      <c r="AC284" s="48"/>
      <c r="AD284" s="48"/>
      <c r="AE284" s="1"/>
      <c r="AF284" s="1"/>
    </row>
    <row r="285" spans="1:32" s="22" customFormat="1" ht="75" x14ac:dyDescent="0.25">
      <c r="A285" s="71"/>
      <c r="B285" s="71"/>
      <c r="C285" s="71"/>
      <c r="D285" s="71" t="s">
        <v>23</v>
      </c>
      <c r="E285" s="71" t="s">
        <v>33</v>
      </c>
      <c r="F285" s="71" t="s">
        <v>23</v>
      </c>
      <c r="G285" s="71" t="s">
        <v>31</v>
      </c>
      <c r="H285" s="71" t="s">
        <v>23</v>
      </c>
      <c r="I285" s="71" t="s">
        <v>31</v>
      </c>
      <c r="J285" s="71" t="s">
        <v>25</v>
      </c>
      <c r="K285" s="71" t="s">
        <v>23</v>
      </c>
      <c r="L285" s="71" t="s">
        <v>24</v>
      </c>
      <c r="M285" s="71" t="s">
        <v>23</v>
      </c>
      <c r="N285" s="71" t="s">
        <v>23</v>
      </c>
      <c r="O285" s="71" t="s">
        <v>23</v>
      </c>
      <c r="P285" s="71" t="s">
        <v>23</v>
      </c>
      <c r="Q285" s="71" t="s">
        <v>23</v>
      </c>
      <c r="R285" s="72" t="s">
        <v>176</v>
      </c>
      <c r="S285" s="73" t="s">
        <v>59</v>
      </c>
      <c r="T285" s="74"/>
      <c r="U285" s="75">
        <f>U286+U287</f>
        <v>252457.90000000002</v>
      </c>
      <c r="V285" s="75">
        <f>V287</f>
        <v>170000</v>
      </c>
      <c r="W285" s="75">
        <f t="shared" ref="W285:Y285" si="53">W287</f>
        <v>103000</v>
      </c>
      <c r="X285" s="75">
        <f t="shared" si="53"/>
        <v>93700</v>
      </c>
      <c r="Y285" s="75">
        <f t="shared" si="53"/>
        <v>110160</v>
      </c>
      <c r="Z285" s="75">
        <f>Z286+Z287</f>
        <v>729317.89999999991</v>
      </c>
      <c r="AA285" s="73">
        <v>2020</v>
      </c>
      <c r="AB285" s="48"/>
      <c r="AC285" s="48"/>
      <c r="AD285" s="48"/>
      <c r="AE285" s="108"/>
      <c r="AF285" s="108"/>
    </row>
    <row r="286" spans="1:32" s="22" customFormat="1" ht="75" x14ac:dyDescent="0.25">
      <c r="A286" s="71" t="s">
        <v>23</v>
      </c>
      <c r="B286" s="71" t="s">
        <v>24</v>
      </c>
      <c r="C286" s="71" t="s">
        <v>25</v>
      </c>
      <c r="D286" s="71" t="s">
        <v>23</v>
      </c>
      <c r="E286" s="71" t="s">
        <v>33</v>
      </c>
      <c r="F286" s="71" t="s">
        <v>23</v>
      </c>
      <c r="G286" s="71" t="s">
        <v>31</v>
      </c>
      <c r="H286" s="71" t="s">
        <v>23</v>
      </c>
      <c r="I286" s="71" t="s">
        <v>31</v>
      </c>
      <c r="J286" s="71" t="s">
        <v>25</v>
      </c>
      <c r="K286" s="71" t="s">
        <v>23</v>
      </c>
      <c r="L286" s="71" t="s">
        <v>24</v>
      </c>
      <c r="M286" s="71" t="s">
        <v>23</v>
      </c>
      <c r="N286" s="71" t="s">
        <v>23</v>
      </c>
      <c r="O286" s="71" t="s">
        <v>23</v>
      </c>
      <c r="P286" s="71" t="s">
        <v>23</v>
      </c>
      <c r="Q286" s="71" t="s">
        <v>23</v>
      </c>
      <c r="R286" s="72" t="s">
        <v>176</v>
      </c>
      <c r="S286" s="73" t="s">
        <v>59</v>
      </c>
      <c r="T286" s="74"/>
      <c r="U286" s="74">
        <v>170747.7</v>
      </c>
      <c r="V286" s="74"/>
      <c r="W286" s="74"/>
      <c r="X286" s="74"/>
      <c r="Y286" s="74"/>
      <c r="Z286" s="75">
        <f t="shared" ref="Z286:Z287" si="54">T286+U286+V286+W286+X286+Y286</f>
        <v>170747.7</v>
      </c>
      <c r="AA286" s="73">
        <v>2016</v>
      </c>
      <c r="AB286" s="48"/>
      <c r="AC286" s="48"/>
      <c r="AD286" s="48"/>
      <c r="AE286" s="100"/>
      <c r="AF286" s="100"/>
    </row>
    <row r="287" spans="1:32" s="22" customFormat="1" ht="75" x14ac:dyDescent="0.25">
      <c r="A287" s="71" t="s">
        <v>23</v>
      </c>
      <c r="B287" s="71" t="s">
        <v>24</v>
      </c>
      <c r="C287" s="71" t="s">
        <v>31</v>
      </c>
      <c r="D287" s="71" t="s">
        <v>23</v>
      </c>
      <c r="E287" s="71" t="s">
        <v>33</v>
      </c>
      <c r="F287" s="71" t="s">
        <v>23</v>
      </c>
      <c r="G287" s="71" t="s">
        <v>31</v>
      </c>
      <c r="H287" s="71" t="s">
        <v>23</v>
      </c>
      <c r="I287" s="71" t="s">
        <v>31</v>
      </c>
      <c r="J287" s="71" t="s">
        <v>25</v>
      </c>
      <c r="K287" s="71" t="s">
        <v>23</v>
      </c>
      <c r="L287" s="71" t="s">
        <v>24</v>
      </c>
      <c r="M287" s="71" t="s">
        <v>23</v>
      </c>
      <c r="N287" s="71" t="s">
        <v>23</v>
      </c>
      <c r="O287" s="71" t="s">
        <v>23</v>
      </c>
      <c r="P287" s="71" t="s">
        <v>23</v>
      </c>
      <c r="Q287" s="71" t="s">
        <v>23</v>
      </c>
      <c r="R287" s="72" t="s">
        <v>176</v>
      </c>
      <c r="S287" s="73" t="s">
        <v>59</v>
      </c>
      <c r="T287" s="74"/>
      <c r="U287" s="74">
        <f>26710.2+30000+25000</f>
        <v>81710.2</v>
      </c>
      <c r="V287" s="74">
        <v>170000</v>
      </c>
      <c r="W287" s="74">
        <v>103000</v>
      </c>
      <c r="X287" s="74">
        <v>93700</v>
      </c>
      <c r="Y287" s="74">
        <v>110160</v>
      </c>
      <c r="Z287" s="75">
        <f t="shared" si="54"/>
        <v>558570.19999999995</v>
      </c>
      <c r="AA287" s="73">
        <v>2020</v>
      </c>
      <c r="AB287" s="48"/>
      <c r="AC287" s="48"/>
      <c r="AD287" s="48"/>
      <c r="AE287" s="100"/>
      <c r="AF287" s="100"/>
    </row>
    <row r="288" spans="1:32" s="22" customFormat="1" ht="31.9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5"/>
      <c r="R288" s="17" t="s">
        <v>142</v>
      </c>
      <c r="S288" s="15" t="s">
        <v>10</v>
      </c>
      <c r="T288" s="21"/>
      <c r="U288" s="21">
        <v>100</v>
      </c>
      <c r="V288" s="21">
        <v>100</v>
      </c>
      <c r="W288" s="21">
        <v>100</v>
      </c>
      <c r="X288" s="21">
        <v>100</v>
      </c>
      <c r="Y288" s="21">
        <v>100</v>
      </c>
      <c r="Z288" s="6">
        <v>100</v>
      </c>
      <c r="AA288" s="15">
        <v>2020</v>
      </c>
      <c r="AB288" s="48"/>
      <c r="AC288" s="48"/>
      <c r="AD288" s="48"/>
      <c r="AE288" s="1"/>
      <c r="AF288" s="1"/>
    </row>
    <row r="289" spans="1:32" ht="71.25" x14ac:dyDescent="0.25">
      <c r="A289" s="20">
        <v>0</v>
      </c>
      <c r="B289" s="20">
        <v>1</v>
      </c>
      <c r="C289" s="20">
        <v>8</v>
      </c>
      <c r="D289" s="20">
        <v>0</v>
      </c>
      <c r="E289" s="20">
        <v>4</v>
      </c>
      <c r="F289" s="20">
        <v>0</v>
      </c>
      <c r="G289" s="20">
        <v>8</v>
      </c>
      <c r="H289" s="20">
        <v>0</v>
      </c>
      <c r="I289" s="63" t="s">
        <v>31</v>
      </c>
      <c r="J289" s="63" t="s">
        <v>25</v>
      </c>
      <c r="K289" s="63" t="s">
        <v>23</v>
      </c>
      <c r="L289" s="63" t="s">
        <v>25</v>
      </c>
      <c r="M289" s="63" t="s">
        <v>23</v>
      </c>
      <c r="N289" s="63" t="s">
        <v>23</v>
      </c>
      <c r="O289" s="63" t="s">
        <v>23</v>
      </c>
      <c r="P289" s="63" t="s">
        <v>23</v>
      </c>
      <c r="Q289" s="63" t="s">
        <v>23</v>
      </c>
      <c r="R289" s="64" t="s">
        <v>46</v>
      </c>
      <c r="S289" s="28" t="s">
        <v>45</v>
      </c>
      <c r="T289" s="31">
        <v>1</v>
      </c>
      <c r="U289" s="31">
        <v>1</v>
      </c>
      <c r="V289" s="31">
        <v>1</v>
      </c>
      <c r="W289" s="31">
        <v>1</v>
      </c>
      <c r="X289" s="31">
        <v>1</v>
      </c>
      <c r="Y289" s="31">
        <v>1</v>
      </c>
      <c r="Z289" s="31">
        <v>1</v>
      </c>
      <c r="AA289" s="20">
        <v>2020</v>
      </c>
    </row>
    <row r="290" spans="1:32" ht="30" x14ac:dyDescent="0.2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17" t="s">
        <v>153</v>
      </c>
      <c r="S290" s="15" t="s">
        <v>55</v>
      </c>
      <c r="T290" s="21">
        <f t="shared" ref="T290" si="55">T293+T295</f>
        <v>165</v>
      </c>
      <c r="U290" s="21">
        <f>U295</f>
        <v>210</v>
      </c>
      <c r="V290" s="21">
        <f t="shared" ref="V290:Y290" si="56">V295</f>
        <v>200</v>
      </c>
      <c r="W290" s="21">
        <f t="shared" si="56"/>
        <v>200</v>
      </c>
      <c r="X290" s="21">
        <f t="shared" si="56"/>
        <v>200</v>
      </c>
      <c r="Y290" s="21">
        <f t="shared" si="56"/>
        <v>200</v>
      </c>
      <c r="Z290" s="6">
        <f>T290+U290+V290+W290+X290+Y290</f>
        <v>1175</v>
      </c>
      <c r="AA290" s="15">
        <v>2020</v>
      </c>
    </row>
    <row r="291" spans="1:32" ht="30" customHeight="1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17" t="s">
        <v>154</v>
      </c>
      <c r="S291" s="15" t="s">
        <v>59</v>
      </c>
      <c r="T291" s="8">
        <v>215</v>
      </c>
      <c r="U291" s="8">
        <f>207*1.6</f>
        <v>331.20000000000005</v>
      </c>
      <c r="V291" s="8">
        <f>200*1.6</f>
        <v>320</v>
      </c>
      <c r="W291" s="8">
        <f t="shared" ref="W291:Y291" si="57">200*1.6</f>
        <v>320</v>
      </c>
      <c r="X291" s="8">
        <f t="shared" si="57"/>
        <v>320</v>
      </c>
      <c r="Y291" s="8">
        <f t="shared" si="57"/>
        <v>320</v>
      </c>
      <c r="Z291" s="5">
        <f>T291+U291+V291+W291+X291+Y291</f>
        <v>1826.2</v>
      </c>
      <c r="AA291" s="15">
        <v>2020</v>
      </c>
    </row>
    <row r="292" spans="1:32" ht="59.45" customHeight="1" x14ac:dyDescent="0.25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2" t="s">
        <v>201</v>
      </c>
      <c r="S292" s="73" t="s">
        <v>45</v>
      </c>
      <c r="T292" s="77">
        <v>1</v>
      </c>
      <c r="U292" s="77">
        <v>1</v>
      </c>
      <c r="V292" s="77">
        <v>1</v>
      </c>
      <c r="W292" s="77">
        <v>1</v>
      </c>
      <c r="X292" s="77">
        <v>1</v>
      </c>
      <c r="Y292" s="77">
        <v>1</v>
      </c>
      <c r="Z292" s="77">
        <v>1</v>
      </c>
      <c r="AA292" s="73">
        <v>2020</v>
      </c>
    </row>
    <row r="293" spans="1:32" ht="30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7" t="s">
        <v>202</v>
      </c>
      <c r="S293" s="15" t="s">
        <v>55</v>
      </c>
      <c r="T293" s="21">
        <v>45</v>
      </c>
      <c r="U293" s="21">
        <v>205</v>
      </c>
      <c r="V293" s="21">
        <v>125</v>
      </c>
      <c r="W293" s="21">
        <v>125</v>
      </c>
      <c r="X293" s="21">
        <v>125</v>
      </c>
      <c r="Y293" s="21">
        <v>125</v>
      </c>
      <c r="Z293" s="6">
        <f>T293+U293+V293+W293+X293+Y293</f>
        <v>750</v>
      </c>
      <c r="AA293" s="15">
        <v>2020</v>
      </c>
    </row>
    <row r="294" spans="1:32" ht="58.9" customHeight="1" x14ac:dyDescent="0.25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2" t="s">
        <v>203</v>
      </c>
      <c r="S294" s="73" t="s">
        <v>45</v>
      </c>
      <c r="T294" s="77">
        <v>1</v>
      </c>
      <c r="U294" s="77">
        <v>1</v>
      </c>
      <c r="V294" s="77">
        <v>1</v>
      </c>
      <c r="W294" s="77">
        <v>1</v>
      </c>
      <c r="X294" s="77">
        <v>1</v>
      </c>
      <c r="Y294" s="77">
        <v>1</v>
      </c>
      <c r="Z294" s="77">
        <v>1</v>
      </c>
      <c r="AA294" s="73">
        <v>2020</v>
      </c>
    </row>
    <row r="295" spans="1:32" ht="46.9" customHeight="1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17" t="s">
        <v>204</v>
      </c>
      <c r="S295" s="15" t="s">
        <v>55</v>
      </c>
      <c r="T295" s="21">
        <v>120</v>
      </c>
      <c r="U295" s="21">
        <v>210</v>
      </c>
      <c r="V295" s="21">
        <v>200</v>
      </c>
      <c r="W295" s="21">
        <v>200</v>
      </c>
      <c r="X295" s="21">
        <v>200</v>
      </c>
      <c r="Y295" s="21">
        <v>200</v>
      </c>
      <c r="Z295" s="6">
        <f>T295+U295+V295+W295+X295+Y295</f>
        <v>1130</v>
      </c>
      <c r="AA295" s="18">
        <v>2020</v>
      </c>
    </row>
    <row r="296" spans="1:32" s="22" customFormat="1" ht="45" x14ac:dyDescent="0.25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2" t="s">
        <v>205</v>
      </c>
      <c r="S296" s="73" t="s">
        <v>45</v>
      </c>
      <c r="T296" s="77">
        <v>1</v>
      </c>
      <c r="U296" s="77">
        <v>1</v>
      </c>
      <c r="V296" s="77">
        <v>1</v>
      </c>
      <c r="W296" s="77">
        <v>1</v>
      </c>
      <c r="X296" s="77">
        <v>1</v>
      </c>
      <c r="Y296" s="77">
        <v>1</v>
      </c>
      <c r="Z296" s="77">
        <v>1</v>
      </c>
      <c r="AA296" s="73">
        <v>2020</v>
      </c>
      <c r="AB296" s="48"/>
      <c r="AC296" s="48"/>
      <c r="AD296" s="48"/>
      <c r="AE296" s="1"/>
      <c r="AF296" s="1"/>
    </row>
    <row r="297" spans="1:32" s="1" customFormat="1" ht="45" customHeight="1" x14ac:dyDescent="0.2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17" t="s">
        <v>206</v>
      </c>
      <c r="S297" s="15" t="s">
        <v>55</v>
      </c>
      <c r="T297" s="21">
        <f>700+250</f>
        <v>950</v>
      </c>
      <c r="U297" s="21">
        <v>1085</v>
      </c>
      <c r="V297" s="21">
        <v>1000</v>
      </c>
      <c r="W297" s="21">
        <v>1000</v>
      </c>
      <c r="X297" s="21">
        <v>1000</v>
      </c>
      <c r="Y297" s="21">
        <v>1000</v>
      </c>
      <c r="Z297" s="6">
        <f>T297+U297+V297+W297+X297+Y297</f>
        <v>6035</v>
      </c>
      <c r="AA297" s="15">
        <v>2020</v>
      </c>
      <c r="AB297" s="48"/>
      <c r="AC297" s="48"/>
      <c r="AD297" s="48"/>
    </row>
    <row r="298" spans="1:32" s="2" customFormat="1" ht="26.25" hidden="1" customHeight="1" x14ac:dyDescent="0.25">
      <c r="A298" s="67"/>
      <c r="B298" s="67"/>
      <c r="C298" s="67"/>
      <c r="D298" s="67"/>
      <c r="E298" s="67"/>
      <c r="F298" s="67"/>
      <c r="G298" s="67"/>
      <c r="H298" s="68"/>
      <c r="I298" s="67"/>
      <c r="J298" s="67"/>
      <c r="K298" s="67"/>
      <c r="L298" s="67"/>
      <c r="M298" s="67"/>
      <c r="N298" s="67"/>
      <c r="O298" s="67"/>
      <c r="P298" s="67"/>
      <c r="Q298" s="33"/>
      <c r="R298" s="56" t="s">
        <v>8</v>
      </c>
      <c r="S298" s="32" t="s">
        <v>1</v>
      </c>
      <c r="T298" s="4">
        <f t="shared" ref="T298:Y298" si="58">T300+T301</f>
        <v>41792.9</v>
      </c>
      <c r="U298" s="4">
        <f t="shared" si="58"/>
        <v>42055.9</v>
      </c>
      <c r="V298" s="4">
        <f t="shared" si="58"/>
        <v>44284.9</v>
      </c>
      <c r="W298" s="4">
        <f t="shared" si="58"/>
        <v>46100.6</v>
      </c>
      <c r="X298" s="4">
        <f t="shared" si="58"/>
        <v>47760.2</v>
      </c>
      <c r="Y298" s="4">
        <f t="shared" si="58"/>
        <v>49288.5</v>
      </c>
      <c r="Z298" s="4">
        <f>T298+U298+V298+W298+X298+Y298</f>
        <v>271283</v>
      </c>
      <c r="AA298" s="33">
        <v>2020</v>
      </c>
      <c r="AB298" s="42"/>
      <c r="AC298" s="42"/>
      <c r="AD298" s="42"/>
      <c r="AE298" s="43"/>
      <c r="AF298" s="43"/>
    </row>
    <row r="299" spans="1:32" s="22" customFormat="1" ht="42.75" hidden="1" x14ac:dyDescent="0.25">
      <c r="A299" s="17"/>
      <c r="B299" s="17"/>
      <c r="C299" s="17"/>
      <c r="D299" s="17"/>
      <c r="E299" s="17"/>
      <c r="F299" s="17"/>
      <c r="G299" s="17"/>
      <c r="H299" s="40"/>
      <c r="I299" s="17"/>
      <c r="J299" s="17"/>
      <c r="K299" s="17"/>
      <c r="L299" s="17"/>
      <c r="M299" s="17"/>
      <c r="N299" s="17"/>
      <c r="O299" s="17"/>
      <c r="P299" s="17"/>
      <c r="Q299" s="15"/>
      <c r="R299" s="39" t="s">
        <v>41</v>
      </c>
      <c r="S299" s="27"/>
      <c r="T299" s="5"/>
      <c r="U299" s="5"/>
      <c r="V299" s="5"/>
      <c r="W299" s="5"/>
      <c r="X299" s="5"/>
      <c r="Y299" s="5"/>
      <c r="Z299" s="5"/>
      <c r="AA299" s="15"/>
      <c r="AB299" s="48"/>
      <c r="AC299" s="48"/>
      <c r="AD299" s="48"/>
      <c r="AE299" s="1"/>
      <c r="AF299" s="1"/>
    </row>
    <row r="300" spans="1:32" ht="25.9" hidden="1" customHeight="1" x14ac:dyDescent="0.25">
      <c r="A300" s="12" t="s">
        <v>23</v>
      </c>
      <c r="B300" s="12" t="s">
        <v>24</v>
      </c>
      <c r="C300" s="12" t="s">
        <v>25</v>
      </c>
      <c r="D300" s="12" t="s">
        <v>23</v>
      </c>
      <c r="E300" s="12" t="s">
        <v>30</v>
      </c>
      <c r="F300" s="12" t="s">
        <v>23</v>
      </c>
      <c r="G300" s="12" t="s">
        <v>30</v>
      </c>
      <c r="H300" s="12" t="s">
        <v>23</v>
      </c>
      <c r="I300" s="12" t="s">
        <v>31</v>
      </c>
      <c r="J300" s="12" t="s">
        <v>32</v>
      </c>
      <c r="K300" s="12" t="s">
        <v>23</v>
      </c>
      <c r="L300" s="12" t="s">
        <v>30</v>
      </c>
      <c r="M300" s="12"/>
      <c r="N300" s="12"/>
      <c r="O300" s="12"/>
      <c r="P300" s="12" t="s">
        <v>23</v>
      </c>
      <c r="Q300" s="12" t="s">
        <v>23</v>
      </c>
      <c r="R300" s="9" t="s">
        <v>155</v>
      </c>
      <c r="S300" s="13" t="s">
        <v>1</v>
      </c>
      <c r="T300" s="11">
        <v>41537</v>
      </c>
      <c r="U300" s="11">
        <v>41800</v>
      </c>
      <c r="V300" s="11">
        <v>44015.4</v>
      </c>
      <c r="W300" s="11">
        <v>45820</v>
      </c>
      <c r="X300" s="11">
        <v>47469.5</v>
      </c>
      <c r="Y300" s="11">
        <v>48988.5</v>
      </c>
      <c r="Z300" s="10">
        <f>T300+U300+V300+W300+X300+Y300</f>
        <v>269630.40000000002</v>
      </c>
      <c r="AA300" s="13">
        <v>2020</v>
      </c>
    </row>
    <row r="301" spans="1:32" ht="39" hidden="1" customHeight="1" x14ac:dyDescent="0.25">
      <c r="A301" s="12" t="s">
        <v>23</v>
      </c>
      <c r="B301" s="12" t="s">
        <v>24</v>
      </c>
      <c r="C301" s="12" t="s">
        <v>25</v>
      </c>
      <c r="D301" s="12" t="s">
        <v>23</v>
      </c>
      <c r="E301" s="12" t="s">
        <v>30</v>
      </c>
      <c r="F301" s="12" t="s">
        <v>23</v>
      </c>
      <c r="G301" s="12" t="s">
        <v>30</v>
      </c>
      <c r="H301" s="12" t="s">
        <v>23</v>
      </c>
      <c r="I301" s="12" t="s">
        <v>31</v>
      </c>
      <c r="J301" s="12" t="s">
        <v>32</v>
      </c>
      <c r="K301" s="12" t="s">
        <v>39</v>
      </c>
      <c r="L301" s="12" t="s">
        <v>30</v>
      </c>
      <c r="M301" s="12"/>
      <c r="N301" s="12"/>
      <c r="O301" s="12"/>
      <c r="P301" s="12" t="s">
        <v>25</v>
      </c>
      <c r="Q301" s="12" t="s">
        <v>25</v>
      </c>
      <c r="R301" s="9" t="s">
        <v>156</v>
      </c>
      <c r="S301" s="13" t="s">
        <v>1</v>
      </c>
      <c r="T301" s="34">
        <v>255.9</v>
      </c>
      <c r="U301" s="34">
        <v>255.9</v>
      </c>
      <c r="V301" s="34">
        <v>269.5</v>
      </c>
      <c r="W301" s="34">
        <v>280.60000000000002</v>
      </c>
      <c r="X301" s="34">
        <v>290.7</v>
      </c>
      <c r="Y301" s="34">
        <v>300</v>
      </c>
      <c r="Z301" s="10">
        <f>T301+U301+V301+W301+X301+Y301</f>
        <v>1652.6000000000001</v>
      </c>
      <c r="AA301" s="35">
        <v>2020</v>
      </c>
    </row>
    <row r="302" spans="1:32" s="22" customFormat="1" ht="25.9" hidden="1" customHeight="1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39" t="s">
        <v>42</v>
      </c>
      <c r="S302" s="15"/>
      <c r="T302" s="8"/>
      <c r="U302" s="8"/>
      <c r="V302" s="8"/>
      <c r="W302" s="8"/>
      <c r="X302" s="8"/>
      <c r="Y302" s="8"/>
      <c r="Z302" s="5"/>
      <c r="AA302" s="19"/>
      <c r="AB302" s="48"/>
      <c r="AC302" s="48"/>
      <c r="AD302" s="48"/>
      <c r="AE302" s="1"/>
      <c r="AF302" s="1"/>
    </row>
    <row r="303" spans="1:32" s="22" customFormat="1" ht="30" hidden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9" t="s">
        <v>157</v>
      </c>
      <c r="S303" s="13" t="s">
        <v>19</v>
      </c>
      <c r="T303" s="11" t="s">
        <v>20</v>
      </c>
      <c r="U303" s="11" t="s">
        <v>20</v>
      </c>
      <c r="V303" s="11" t="s">
        <v>20</v>
      </c>
      <c r="W303" s="11" t="s">
        <v>20</v>
      </c>
      <c r="X303" s="11" t="s">
        <v>20</v>
      </c>
      <c r="Y303" s="11" t="s">
        <v>20</v>
      </c>
      <c r="Z303" s="11" t="s">
        <v>20</v>
      </c>
      <c r="AA303" s="13">
        <v>2020</v>
      </c>
      <c r="AB303" s="48"/>
      <c r="AC303" s="48"/>
      <c r="AD303" s="48"/>
      <c r="AE303" s="1"/>
      <c r="AF303" s="1"/>
    </row>
    <row r="304" spans="1:32" s="22" customFormat="1" ht="45" hidden="1" x14ac:dyDescent="0.2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17" t="s">
        <v>158</v>
      </c>
      <c r="S304" s="15" t="s">
        <v>9</v>
      </c>
      <c r="T304" s="18">
        <v>500</v>
      </c>
      <c r="U304" s="18">
        <v>500</v>
      </c>
      <c r="V304" s="18">
        <v>500</v>
      </c>
      <c r="W304" s="18">
        <v>500</v>
      </c>
      <c r="X304" s="18">
        <v>500</v>
      </c>
      <c r="Y304" s="18">
        <v>500</v>
      </c>
      <c r="Z304" s="6">
        <f t="shared" ref="Z304:Z319" si="59">T304+U304+V304+W304+X304+Y304</f>
        <v>3000</v>
      </c>
      <c r="AA304" s="19">
        <v>2020</v>
      </c>
      <c r="AB304" s="48"/>
      <c r="AC304" s="48"/>
      <c r="AD304" s="48"/>
      <c r="AE304" s="1"/>
      <c r="AF304" s="1"/>
    </row>
    <row r="305" spans="1:32" s="22" customFormat="1" ht="52.5" hidden="1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9" t="s">
        <v>159</v>
      </c>
      <c r="S305" s="13" t="s">
        <v>19</v>
      </c>
      <c r="T305" s="11" t="s">
        <v>20</v>
      </c>
      <c r="U305" s="11" t="s">
        <v>20</v>
      </c>
      <c r="V305" s="11" t="s">
        <v>20</v>
      </c>
      <c r="W305" s="11" t="s">
        <v>20</v>
      </c>
      <c r="X305" s="11" t="s">
        <v>20</v>
      </c>
      <c r="Y305" s="11" t="s">
        <v>20</v>
      </c>
      <c r="Z305" s="11" t="s">
        <v>20</v>
      </c>
      <c r="AA305" s="13">
        <v>2020</v>
      </c>
      <c r="AB305" s="48"/>
      <c r="AC305" s="48"/>
      <c r="AD305" s="48"/>
      <c r="AE305" s="1"/>
      <c r="AF305" s="1"/>
    </row>
    <row r="306" spans="1:32" s="22" customFormat="1" ht="60" hidden="1" x14ac:dyDescent="0.2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17" t="s">
        <v>160</v>
      </c>
      <c r="S306" s="15" t="s">
        <v>9</v>
      </c>
      <c r="T306" s="18">
        <v>5</v>
      </c>
      <c r="U306" s="18">
        <v>5</v>
      </c>
      <c r="V306" s="18">
        <v>5</v>
      </c>
      <c r="W306" s="18">
        <v>5</v>
      </c>
      <c r="X306" s="18">
        <v>5</v>
      </c>
      <c r="Y306" s="18">
        <v>5</v>
      </c>
      <c r="Z306" s="6">
        <f t="shared" si="59"/>
        <v>30</v>
      </c>
      <c r="AA306" s="19">
        <v>2020</v>
      </c>
      <c r="AB306" s="48"/>
      <c r="AC306" s="48"/>
      <c r="AD306" s="48"/>
      <c r="AE306" s="1"/>
      <c r="AF306" s="1"/>
    </row>
    <row r="307" spans="1:32" s="22" customFormat="1" ht="45" hidden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9" t="s">
        <v>161</v>
      </c>
      <c r="S307" s="13" t="s">
        <v>19</v>
      </c>
      <c r="T307" s="11" t="s">
        <v>20</v>
      </c>
      <c r="U307" s="11" t="s">
        <v>20</v>
      </c>
      <c r="V307" s="11" t="s">
        <v>20</v>
      </c>
      <c r="W307" s="11" t="s">
        <v>20</v>
      </c>
      <c r="X307" s="11" t="s">
        <v>20</v>
      </c>
      <c r="Y307" s="11" t="s">
        <v>20</v>
      </c>
      <c r="Z307" s="11" t="s">
        <v>20</v>
      </c>
      <c r="AA307" s="13">
        <v>2020</v>
      </c>
      <c r="AB307" s="48"/>
      <c r="AC307" s="48"/>
      <c r="AD307" s="48"/>
      <c r="AE307" s="1"/>
      <c r="AF307" s="1"/>
    </row>
    <row r="308" spans="1:32" s="22" customFormat="1" ht="45" hidden="1" x14ac:dyDescent="0.2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17" t="s">
        <v>162</v>
      </c>
      <c r="S308" s="15" t="s">
        <v>9</v>
      </c>
      <c r="T308" s="18">
        <v>50</v>
      </c>
      <c r="U308" s="18">
        <v>50</v>
      </c>
      <c r="V308" s="18">
        <v>50</v>
      </c>
      <c r="W308" s="18">
        <v>50</v>
      </c>
      <c r="X308" s="18">
        <v>50</v>
      </c>
      <c r="Y308" s="18">
        <v>50</v>
      </c>
      <c r="Z308" s="6">
        <f>T308+U308+V308+W308+X308+Y308</f>
        <v>300</v>
      </c>
      <c r="AA308" s="19">
        <v>2020</v>
      </c>
      <c r="AB308" s="48"/>
      <c r="AC308" s="48"/>
      <c r="AD308" s="48"/>
      <c r="AE308" s="1"/>
      <c r="AF308" s="1"/>
    </row>
    <row r="309" spans="1:32" s="22" customFormat="1" ht="30" hidden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9" t="s">
        <v>163</v>
      </c>
      <c r="S309" s="13" t="s">
        <v>19</v>
      </c>
      <c r="T309" s="11" t="s">
        <v>20</v>
      </c>
      <c r="U309" s="11" t="s">
        <v>20</v>
      </c>
      <c r="V309" s="11" t="s">
        <v>20</v>
      </c>
      <c r="W309" s="11" t="s">
        <v>20</v>
      </c>
      <c r="X309" s="11" t="s">
        <v>20</v>
      </c>
      <c r="Y309" s="11" t="s">
        <v>20</v>
      </c>
      <c r="Z309" s="11" t="s">
        <v>20</v>
      </c>
      <c r="AA309" s="13">
        <v>2020</v>
      </c>
      <c r="AB309" s="48"/>
      <c r="AC309" s="48"/>
      <c r="AD309" s="48"/>
      <c r="AE309" s="1"/>
      <c r="AF309" s="1"/>
    </row>
    <row r="310" spans="1:32" s="22" customFormat="1" ht="52.5" hidden="1" customHeight="1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17" t="s">
        <v>164</v>
      </c>
      <c r="S310" s="15" t="s">
        <v>9</v>
      </c>
      <c r="T310" s="18">
        <v>50</v>
      </c>
      <c r="U310" s="18">
        <v>50</v>
      </c>
      <c r="V310" s="18">
        <v>50</v>
      </c>
      <c r="W310" s="18">
        <v>50</v>
      </c>
      <c r="X310" s="18">
        <v>50</v>
      </c>
      <c r="Y310" s="18">
        <v>50</v>
      </c>
      <c r="Z310" s="6">
        <f t="shared" si="59"/>
        <v>300</v>
      </c>
      <c r="AA310" s="19">
        <v>2020</v>
      </c>
      <c r="AB310" s="48"/>
      <c r="AC310" s="48"/>
      <c r="AD310" s="48"/>
      <c r="AE310" s="1"/>
      <c r="AF310" s="1"/>
    </row>
    <row r="311" spans="1:32" s="22" customFormat="1" ht="39.6" hidden="1" customHeight="1" x14ac:dyDescent="0.2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7" t="s">
        <v>165</v>
      </c>
      <c r="S311" s="15" t="s">
        <v>10</v>
      </c>
      <c r="T311" s="18">
        <v>100</v>
      </c>
      <c r="U311" s="18">
        <v>100</v>
      </c>
      <c r="V311" s="18">
        <v>100</v>
      </c>
      <c r="W311" s="18">
        <v>100</v>
      </c>
      <c r="X311" s="18">
        <v>100</v>
      </c>
      <c r="Y311" s="18">
        <v>100</v>
      </c>
      <c r="Z311" s="6">
        <f t="shared" si="59"/>
        <v>600</v>
      </c>
      <c r="AA311" s="15">
        <v>2020</v>
      </c>
      <c r="AB311" s="48"/>
      <c r="AC311" s="48"/>
      <c r="AD311" s="48"/>
      <c r="AE311" s="1"/>
      <c r="AF311" s="1"/>
    </row>
    <row r="312" spans="1:32" s="22" customFormat="1" ht="45" hidden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9" t="s">
        <v>166</v>
      </c>
      <c r="S312" s="13" t="s">
        <v>19</v>
      </c>
      <c r="T312" s="11" t="s">
        <v>20</v>
      </c>
      <c r="U312" s="11" t="s">
        <v>20</v>
      </c>
      <c r="V312" s="11" t="s">
        <v>20</v>
      </c>
      <c r="W312" s="11" t="s">
        <v>20</v>
      </c>
      <c r="X312" s="11" t="s">
        <v>20</v>
      </c>
      <c r="Y312" s="11" t="s">
        <v>20</v>
      </c>
      <c r="Z312" s="11" t="s">
        <v>20</v>
      </c>
      <c r="AA312" s="35">
        <v>2020</v>
      </c>
      <c r="AB312" s="48"/>
      <c r="AC312" s="48"/>
      <c r="AD312" s="48"/>
      <c r="AE312" s="1"/>
      <c r="AF312" s="1"/>
    </row>
    <row r="313" spans="1:32" s="22" customFormat="1" ht="30" hidden="1" x14ac:dyDescent="0.2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17" t="s">
        <v>167</v>
      </c>
      <c r="S313" s="15" t="s">
        <v>13</v>
      </c>
      <c r="T313" s="18">
        <v>12</v>
      </c>
      <c r="U313" s="18">
        <v>12</v>
      </c>
      <c r="V313" s="18">
        <v>12</v>
      </c>
      <c r="W313" s="18">
        <v>12</v>
      </c>
      <c r="X313" s="18">
        <v>12</v>
      </c>
      <c r="Y313" s="18">
        <v>12</v>
      </c>
      <c r="Z313" s="6">
        <f t="shared" si="59"/>
        <v>72</v>
      </c>
      <c r="AA313" s="15">
        <v>2020</v>
      </c>
      <c r="AB313" s="48"/>
      <c r="AC313" s="48"/>
      <c r="AD313" s="48"/>
      <c r="AE313" s="1"/>
      <c r="AF313" s="1"/>
    </row>
    <row r="314" spans="1:32" s="22" customFormat="1" ht="45" hidden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9" t="s">
        <v>168</v>
      </c>
      <c r="S314" s="13" t="s">
        <v>19</v>
      </c>
      <c r="T314" s="11" t="s">
        <v>20</v>
      </c>
      <c r="U314" s="11" t="s">
        <v>20</v>
      </c>
      <c r="V314" s="11" t="s">
        <v>20</v>
      </c>
      <c r="W314" s="11" t="s">
        <v>20</v>
      </c>
      <c r="X314" s="11" t="s">
        <v>20</v>
      </c>
      <c r="Y314" s="11" t="s">
        <v>20</v>
      </c>
      <c r="Z314" s="30" t="s">
        <v>20</v>
      </c>
      <c r="AA314" s="35">
        <v>2020</v>
      </c>
      <c r="AB314" s="48"/>
      <c r="AC314" s="48"/>
      <c r="AD314" s="48"/>
      <c r="AE314" s="1"/>
      <c r="AF314" s="1"/>
    </row>
    <row r="315" spans="1:32" s="22" customFormat="1" ht="30" hidden="1" x14ac:dyDescent="0.2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17" t="s">
        <v>169</v>
      </c>
      <c r="S315" s="15" t="s">
        <v>13</v>
      </c>
      <c r="T315" s="18">
        <v>4</v>
      </c>
      <c r="U315" s="18">
        <v>4</v>
      </c>
      <c r="V315" s="18">
        <v>4</v>
      </c>
      <c r="W315" s="18">
        <v>4</v>
      </c>
      <c r="X315" s="18">
        <v>4</v>
      </c>
      <c r="Y315" s="18">
        <v>4</v>
      </c>
      <c r="Z315" s="6">
        <f t="shared" si="59"/>
        <v>24</v>
      </c>
      <c r="AA315" s="15">
        <v>2020</v>
      </c>
      <c r="AB315" s="48"/>
      <c r="AC315" s="48"/>
      <c r="AD315" s="48"/>
      <c r="AE315" s="1"/>
      <c r="AF315" s="1"/>
    </row>
    <row r="316" spans="1:32" s="22" customFormat="1" ht="45" hidden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9" t="s">
        <v>170</v>
      </c>
      <c r="S316" s="13" t="s">
        <v>19</v>
      </c>
      <c r="T316" s="11" t="s">
        <v>20</v>
      </c>
      <c r="U316" s="11" t="s">
        <v>20</v>
      </c>
      <c r="V316" s="11" t="s">
        <v>20</v>
      </c>
      <c r="W316" s="11" t="s">
        <v>20</v>
      </c>
      <c r="X316" s="11" t="s">
        <v>20</v>
      </c>
      <c r="Y316" s="11" t="s">
        <v>20</v>
      </c>
      <c r="Z316" s="30" t="s">
        <v>20</v>
      </c>
      <c r="AA316" s="35">
        <v>2020</v>
      </c>
      <c r="AB316" s="48"/>
      <c r="AC316" s="48"/>
      <c r="AD316" s="48"/>
      <c r="AE316" s="1"/>
      <c r="AF316" s="1"/>
    </row>
    <row r="317" spans="1:32" s="22" customFormat="1" ht="30" hidden="1" x14ac:dyDescent="0.2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17" t="s">
        <v>171</v>
      </c>
      <c r="S317" s="15" t="s">
        <v>13</v>
      </c>
      <c r="T317" s="18">
        <v>5</v>
      </c>
      <c r="U317" s="18">
        <v>5</v>
      </c>
      <c r="V317" s="18">
        <v>5</v>
      </c>
      <c r="W317" s="18">
        <v>5</v>
      </c>
      <c r="X317" s="18">
        <v>5</v>
      </c>
      <c r="Y317" s="18">
        <v>5</v>
      </c>
      <c r="Z317" s="6">
        <f t="shared" si="59"/>
        <v>30</v>
      </c>
      <c r="AA317" s="15">
        <v>2020</v>
      </c>
      <c r="AB317" s="48"/>
      <c r="AC317" s="48"/>
      <c r="AD317" s="48"/>
      <c r="AE317" s="1"/>
      <c r="AF317" s="1"/>
    </row>
    <row r="318" spans="1:32" s="22" customFormat="1" ht="45" hidden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9" t="s">
        <v>172</v>
      </c>
      <c r="S318" s="13" t="s">
        <v>19</v>
      </c>
      <c r="T318" s="11" t="s">
        <v>20</v>
      </c>
      <c r="U318" s="11" t="s">
        <v>20</v>
      </c>
      <c r="V318" s="11" t="s">
        <v>20</v>
      </c>
      <c r="W318" s="11" t="s">
        <v>20</v>
      </c>
      <c r="X318" s="11" t="s">
        <v>20</v>
      </c>
      <c r="Y318" s="11" t="s">
        <v>20</v>
      </c>
      <c r="Z318" s="11" t="s">
        <v>20</v>
      </c>
      <c r="AA318" s="35">
        <v>2020</v>
      </c>
      <c r="AB318" s="48"/>
      <c r="AC318" s="48"/>
      <c r="AD318" s="48"/>
      <c r="AE318" s="1"/>
      <c r="AF318" s="1"/>
    </row>
    <row r="319" spans="1:32" s="22" customFormat="1" ht="30" hidden="1" x14ac:dyDescent="0.2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17" t="s">
        <v>171</v>
      </c>
      <c r="S319" s="15" t="s">
        <v>13</v>
      </c>
      <c r="T319" s="18">
        <v>4</v>
      </c>
      <c r="U319" s="18">
        <v>4</v>
      </c>
      <c r="V319" s="18">
        <v>4</v>
      </c>
      <c r="W319" s="18">
        <v>4</v>
      </c>
      <c r="X319" s="18">
        <v>4</v>
      </c>
      <c r="Y319" s="18">
        <v>4</v>
      </c>
      <c r="Z319" s="6">
        <f t="shared" si="59"/>
        <v>24</v>
      </c>
      <c r="AA319" s="15">
        <v>2020</v>
      </c>
      <c r="AB319" s="48"/>
      <c r="AC319" s="48"/>
      <c r="AD319" s="48"/>
      <c r="AE319" s="1"/>
      <c r="AF319" s="1"/>
    </row>
    <row r="320" spans="1:32" s="22" customFormat="1" x14ac:dyDescent="0.25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70"/>
      <c r="S320" s="44"/>
      <c r="T320" s="45"/>
      <c r="U320" s="45"/>
      <c r="V320" s="45"/>
      <c r="W320" s="45"/>
      <c r="X320" s="45"/>
      <c r="Y320" s="45"/>
      <c r="Z320" s="46"/>
      <c r="AA320" s="44"/>
      <c r="AB320" s="48"/>
      <c r="AC320" s="48"/>
      <c r="AD320" s="48"/>
      <c r="AE320" s="1"/>
      <c r="AF320" s="1"/>
    </row>
    <row r="321" spans="1:32" s="22" customFormat="1" x14ac:dyDescent="0.25">
      <c r="A321" s="110" t="s">
        <v>53</v>
      </c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48"/>
      <c r="AC321" s="48"/>
      <c r="AD321" s="48"/>
      <c r="AE321" s="1"/>
      <c r="AF321" s="1"/>
    </row>
    <row r="322" spans="1:32" s="22" customFormat="1" x14ac:dyDescent="0.25">
      <c r="A322" s="51"/>
      <c r="B322" s="51"/>
      <c r="C322" s="84"/>
      <c r="D322" s="84"/>
      <c r="E322" s="8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85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3" t="s">
        <v>193</v>
      </c>
      <c r="AB322" s="48"/>
      <c r="AC322" s="48"/>
      <c r="AD322" s="48"/>
      <c r="AE322" s="1"/>
      <c r="AF322" s="1"/>
    </row>
    <row r="323" spans="1:32" s="22" customFormat="1" x14ac:dyDescent="0.25">
      <c r="A323" s="51"/>
      <c r="B323" s="51"/>
      <c r="C323" s="84"/>
      <c r="D323" s="84"/>
      <c r="E323" s="8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85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3"/>
      <c r="AB323" s="48"/>
      <c r="AC323" s="48"/>
      <c r="AD323" s="48"/>
      <c r="AE323" s="1"/>
      <c r="AF323" s="1"/>
    </row>
    <row r="324" spans="1:32" ht="13.9" customHeight="1" x14ac:dyDescent="0.25">
      <c r="A324" s="109" t="s">
        <v>243</v>
      </c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</row>
  </sheetData>
  <mergeCells count="21">
    <mergeCell ref="A324:AA324"/>
    <mergeCell ref="V1:AA1"/>
    <mergeCell ref="A321:AA321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  <mergeCell ref="A4:AA4"/>
    <mergeCell ref="A5:AA5"/>
    <mergeCell ref="A7:AA7"/>
    <mergeCell ref="AE277:AF277"/>
    <mergeCell ref="AE285:AF285"/>
  </mergeCells>
  <pageMargins left="0.39370078740157483" right="0.39370078740157483" top="1.1811023622047245" bottom="0.59055118110236227" header="0" footer="0"/>
  <pageSetup paperSize="9" scale="6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2017-07-13T14:27:15Z</dcterms:modified>
</cp:coreProperties>
</file>